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mortization Schedul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[$$-409]#,##0"/>
    <numFmt numFmtId="165" formatCode="0.000%"/>
    <numFmt numFmtId="166" formatCode="yyyy-mm-dd"/>
    <numFmt numFmtId="167" formatCode="mmm d, yyyy"/>
    <numFmt numFmtId="168" formatCode="[$$-409]#,##0.00"/>
    <numFmt numFmtId="169" formatCode="mmm yyyy"/>
  </numFmts>
  <fonts count="8">
    <font>
      <name val="Calibri"/>
      <family val="2"/>
      <color theme="1"/>
      <sz val="11"/>
      <scheme val="minor"/>
    </font>
    <font>
      <name val="Calibri"/>
      <b val="1"/>
      <color rgb="00333333"/>
      <sz val="26"/>
    </font>
    <font>
      <name val="Calibri"/>
      <i val="1"/>
      <color rgb="00888888"/>
      <sz val="11"/>
    </font>
    <font>
      <b val="1"/>
      <sz val="13"/>
    </font>
    <font>
      <name val="Calibri"/>
      <b val="1"/>
      <sz val="11"/>
    </font>
    <font>
      <name val="Calibri"/>
      <color rgb="000000FF"/>
      <sz val="11"/>
    </font>
    <font>
      <b val="1"/>
      <color rgb="00333333"/>
      <sz val="22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F0AD4E"/>
      </patternFill>
    </fill>
  </fills>
  <borders count="3">
    <border>
      <left/>
      <right/>
      <top/>
      <bottom/>
      <diagonal/>
    </border>
    <border>
      <bottom style="medium">
        <color rgb="00333333"/>
      </bottom>
    </border>
    <border>
      <bottom style="hair">
        <color rgb="00DDDDDD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164" fontId="5" fillId="0" borderId="0" pivotButton="0" quotePrefix="0" xfId="0"/>
    <xf numFmtId="168" fontId="6" fillId="0" borderId="0" applyAlignment="1" pivotButton="0" quotePrefix="0" xfId="0">
      <alignment horizontal="center" vertical="center"/>
    </xf>
    <xf numFmtId="0" fontId="5" fillId="0" borderId="0" pivotButton="0" quotePrefix="0" xfId="0"/>
    <xf numFmtId="165" fontId="5" fillId="0" borderId="0" pivotButton="0" quotePrefix="0" xfId="0"/>
    <xf numFmtId="168" fontId="0" fillId="0" borderId="0" pivotButton="0" quotePrefix="0" xfId="0"/>
    <xf numFmtId="167" fontId="5" fillId="0" borderId="0" pivotButton="0" quotePrefix="0" xfId="0"/>
    <xf numFmtId="0" fontId="7" fillId="2" borderId="1" applyAlignment="1" pivotButton="0" quotePrefix="0" xfId="0">
      <alignment horizontal="center"/>
    </xf>
    <xf numFmtId="0" fontId="0" fillId="0" borderId="2" applyAlignment="1" pivotButton="0" quotePrefix="0" xfId="0">
      <alignment horizontal="center"/>
    </xf>
    <xf numFmtId="169" fontId="0" fillId="0" borderId="2" pivotButton="0" quotePrefix="0" xfId="0"/>
    <xf numFmtId="168" fontId="0" fillId="0" borderId="2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style val="2"/>
  <chart>
    <title>
      <tx>
        <rich>
          <a:bodyPr/>
          <a:p>
            <a:pPr>
              <a:defRPr/>
            </a:pPr>
            <a:r>
              <a:t>Loan Balance Over Time</a:t>
            </a:r>
          </a:p>
        </rich>
      </tx>
    </title>
    <plotArea>
      <lineChart>
        <grouping val="standard"/>
        <ser>
          <idx val="0"/>
          <order val="0"/>
          <tx>
            <strRef>
              <f>'Amortization Schedule'!F20</f>
            </strRef>
          </tx>
          <spPr>
            <a:ln w="22000">
              <a:solidFill>
                <a:srgbClr val="F0AD4E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val>
            <numRef>
              <f>'Amortization Schedule'!$F$21:$F$500</f>
            </numRef>
          </val>
          <smooth val="1"/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numFmt formatCode="$#,##0" sourceLinked="0"/>
        <majorTickMark val="none"/>
        <minorTickMark val="none"/>
        <crossAx val="10"/>
      </valAx>
    </plotArea>
    <legend>
      <legendPos val="b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0</col>
      <colOff>0</colOff>
      <row>8</row>
      <rowOff>0</rowOff>
    </from>
    <ext cx="5940000" cy="23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mortization-calc.com/" TargetMode="External" Id="rId1" /><Relationship Type="http://schemas.openxmlformats.org/officeDocument/2006/relationships/drawing" Target="/xl/drawings/drawing1.xml" Id="rId2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500"/>
  <sheetViews>
    <sheetView showGridLines="0" workbookViewId="0">
      <pane ySplit="20" topLeftCell="A21" activePane="bottomLeft" state="frozen"/>
      <selection pane="bottomLeft" activeCell="A1" sqref="A1"/>
    </sheetView>
  </sheetViews>
  <sheetFormatPr baseColWidth="8" defaultRowHeight="15"/>
  <cols>
    <col width="9" customWidth="1" min="1" max="1"/>
    <col width="12" customWidth="1" min="2" max="2"/>
    <col width="13" customWidth="1" min="3" max="3"/>
    <col width="13" customWidth="1" min="4" max="4"/>
    <col width="13" customWidth="1" min="5" max="5"/>
    <col width="15" customWidth="1" min="6" max="6"/>
  </cols>
  <sheetData>
    <row r="1">
      <c r="A1" s="1" t="inlineStr">
        <is>
          <t>Amortization Schedule</t>
        </is>
      </c>
    </row>
    <row r="2">
      <c r="A2" s="2" t="inlineStr">
        <is>
          <t>Powered by www.amortization-calc.com</t>
        </is>
      </c>
    </row>
    <row r="3">
      <c r="A3" s="3" t="inlineStr">
        <is>
          <t>Loan Info</t>
        </is>
      </c>
      <c r="D3" s="3" t="inlineStr">
        <is>
          <t>Monthly Payment</t>
        </is>
      </c>
    </row>
    <row r="4">
      <c r="A4" s="4" t="inlineStr">
        <is>
          <t>Loan Amount:</t>
        </is>
      </c>
      <c r="B4" s="5" t="n">
        <v>250000</v>
      </c>
      <c r="D4" s="6">
        <f>PMT(B6/12,B5*12,-B4,0)</f>
        <v/>
      </c>
    </row>
    <row r="5">
      <c r="A5" s="4" t="inlineStr">
        <is>
          <t>Term (years):</t>
        </is>
      </c>
      <c r="B5" s="7" t="n">
        <v>30</v>
      </c>
    </row>
    <row r="6">
      <c r="A6" s="4" t="inlineStr">
        <is>
          <t>Annual Rate:</t>
        </is>
      </c>
      <c r="B6" s="8" t="n">
        <v>0.065</v>
      </c>
      <c r="D6" s="4" t="inlineStr">
        <is>
          <t>Total Interest:</t>
        </is>
      </c>
      <c r="E6" s="9">
        <f>SUM(D21:D500)</f>
        <v/>
      </c>
    </row>
    <row r="7">
      <c r="A7" s="4" t="inlineStr">
        <is>
          <t>Start Date:</t>
        </is>
      </c>
      <c r="B7" s="10" t="n">
        <v>46174</v>
      </c>
      <c r="D7" s="4" t="inlineStr">
        <is>
          <t>Total Paid:</t>
        </is>
      </c>
      <c r="E7" s="9">
        <f>SUM(C21:C500)</f>
        <v/>
      </c>
    </row>
    <row r="20">
      <c r="A20" s="11" t="inlineStr">
        <is>
          <t>Period</t>
        </is>
      </c>
      <c r="B20" s="11" t="inlineStr">
        <is>
          <t>Date</t>
        </is>
      </c>
      <c r="C20" s="11" t="inlineStr">
        <is>
          <t>Payment</t>
        </is>
      </c>
      <c r="D20" s="11" t="inlineStr">
        <is>
          <t>Interest</t>
        </is>
      </c>
      <c r="E20" s="11" t="inlineStr">
        <is>
          <t>Principal</t>
        </is>
      </c>
      <c r="F20" s="11" t="inlineStr">
        <is>
          <t>Ending Balance</t>
        </is>
      </c>
    </row>
    <row r="21">
      <c r="A21" s="12">
        <f>IF(1&gt;$B$5*12,"",1)</f>
        <v/>
      </c>
      <c r="B21" s="13">
        <f>IF($A21="","",EDATE($B$7,1))</f>
        <v/>
      </c>
      <c r="C21" s="14">
        <f>IF($A21="","",MIN($D$4,$B$4+D21))</f>
        <v/>
      </c>
      <c r="D21" s="14">
        <f>IF($A21="","",$B$4*$B$6/12)</f>
        <v/>
      </c>
      <c r="E21" s="14">
        <f>IF($A21="","",C21-D21)</f>
        <v/>
      </c>
      <c r="F21" s="14">
        <f>IF($A21="","",$B$4-E21)</f>
        <v/>
      </c>
    </row>
    <row r="22">
      <c r="A22" s="12">
        <f>IF(2&gt;$B$5*12,"",2)</f>
        <v/>
      </c>
      <c r="B22" s="13">
        <f>IF($A22="","",EDATE($B$7,2))</f>
        <v/>
      </c>
      <c r="C22" s="14">
        <f>IF($A22="","",MIN($D$4,F21+D22))</f>
        <v/>
      </c>
      <c r="D22" s="14">
        <f>IF($A22="","",F21*$B$6/12)</f>
        <v/>
      </c>
      <c r="E22" s="14">
        <f>IF($A22="","",C22-D22)</f>
        <v/>
      </c>
      <c r="F22" s="14">
        <f>IF($A22="","",F21-E22)</f>
        <v/>
      </c>
    </row>
    <row r="23">
      <c r="A23" s="12">
        <f>IF(3&gt;$B$5*12,"",3)</f>
        <v/>
      </c>
      <c r="B23" s="13">
        <f>IF($A23="","",EDATE($B$7,3))</f>
        <v/>
      </c>
      <c r="C23" s="14">
        <f>IF($A23="","",MIN($D$4,F22+D23))</f>
        <v/>
      </c>
      <c r="D23" s="14">
        <f>IF($A23="","",F22*$B$6/12)</f>
        <v/>
      </c>
      <c r="E23" s="14">
        <f>IF($A23="","",C23-D23)</f>
        <v/>
      </c>
      <c r="F23" s="14">
        <f>IF($A23="","",F22-E23)</f>
        <v/>
      </c>
    </row>
    <row r="24">
      <c r="A24" s="12">
        <f>IF(4&gt;$B$5*12,"",4)</f>
        <v/>
      </c>
      <c r="B24" s="13">
        <f>IF($A24="","",EDATE($B$7,4))</f>
        <v/>
      </c>
      <c r="C24" s="14">
        <f>IF($A24="","",MIN($D$4,F23+D24))</f>
        <v/>
      </c>
      <c r="D24" s="14">
        <f>IF($A24="","",F23*$B$6/12)</f>
        <v/>
      </c>
      <c r="E24" s="14">
        <f>IF($A24="","",C24-D24)</f>
        <v/>
      </c>
      <c r="F24" s="14">
        <f>IF($A24="","",F23-E24)</f>
        <v/>
      </c>
    </row>
    <row r="25">
      <c r="A25" s="12">
        <f>IF(5&gt;$B$5*12,"",5)</f>
        <v/>
      </c>
      <c r="B25" s="13">
        <f>IF($A25="","",EDATE($B$7,5))</f>
        <v/>
      </c>
      <c r="C25" s="14">
        <f>IF($A25="","",MIN($D$4,F24+D25))</f>
        <v/>
      </c>
      <c r="D25" s="14">
        <f>IF($A25="","",F24*$B$6/12)</f>
        <v/>
      </c>
      <c r="E25" s="14">
        <f>IF($A25="","",C25-D25)</f>
        <v/>
      </c>
      <c r="F25" s="14">
        <f>IF($A25="","",F24-E25)</f>
        <v/>
      </c>
    </row>
    <row r="26">
      <c r="A26" s="12">
        <f>IF(6&gt;$B$5*12,"",6)</f>
        <v/>
      </c>
      <c r="B26" s="13">
        <f>IF($A26="","",EDATE($B$7,6))</f>
        <v/>
      </c>
      <c r="C26" s="14">
        <f>IF($A26="","",MIN($D$4,F25+D26))</f>
        <v/>
      </c>
      <c r="D26" s="14">
        <f>IF($A26="","",F25*$B$6/12)</f>
        <v/>
      </c>
      <c r="E26" s="14">
        <f>IF($A26="","",C26-D26)</f>
        <v/>
      </c>
      <c r="F26" s="14">
        <f>IF($A26="","",F25-E26)</f>
        <v/>
      </c>
    </row>
    <row r="27">
      <c r="A27" s="12">
        <f>IF(7&gt;$B$5*12,"",7)</f>
        <v/>
      </c>
      <c r="B27" s="13">
        <f>IF($A27="","",EDATE($B$7,7))</f>
        <v/>
      </c>
      <c r="C27" s="14">
        <f>IF($A27="","",MIN($D$4,F26+D27))</f>
        <v/>
      </c>
      <c r="D27" s="14">
        <f>IF($A27="","",F26*$B$6/12)</f>
        <v/>
      </c>
      <c r="E27" s="14">
        <f>IF($A27="","",C27-D27)</f>
        <v/>
      </c>
      <c r="F27" s="14">
        <f>IF($A27="","",F26-E27)</f>
        <v/>
      </c>
    </row>
    <row r="28">
      <c r="A28" s="12">
        <f>IF(8&gt;$B$5*12,"",8)</f>
        <v/>
      </c>
      <c r="B28" s="13">
        <f>IF($A28="","",EDATE($B$7,8))</f>
        <v/>
      </c>
      <c r="C28" s="14">
        <f>IF($A28="","",MIN($D$4,F27+D28))</f>
        <v/>
      </c>
      <c r="D28" s="14">
        <f>IF($A28="","",F27*$B$6/12)</f>
        <v/>
      </c>
      <c r="E28" s="14">
        <f>IF($A28="","",C28-D28)</f>
        <v/>
      </c>
      <c r="F28" s="14">
        <f>IF($A28="","",F27-E28)</f>
        <v/>
      </c>
    </row>
    <row r="29">
      <c r="A29" s="12">
        <f>IF(9&gt;$B$5*12,"",9)</f>
        <v/>
      </c>
      <c r="B29" s="13">
        <f>IF($A29="","",EDATE($B$7,9))</f>
        <v/>
      </c>
      <c r="C29" s="14">
        <f>IF($A29="","",MIN($D$4,F28+D29))</f>
        <v/>
      </c>
      <c r="D29" s="14">
        <f>IF($A29="","",F28*$B$6/12)</f>
        <v/>
      </c>
      <c r="E29" s="14">
        <f>IF($A29="","",C29-D29)</f>
        <v/>
      </c>
      <c r="F29" s="14">
        <f>IF($A29="","",F28-E29)</f>
        <v/>
      </c>
    </row>
    <row r="30">
      <c r="A30" s="12">
        <f>IF(10&gt;$B$5*12,"",10)</f>
        <v/>
      </c>
      <c r="B30" s="13">
        <f>IF($A30="","",EDATE($B$7,10))</f>
        <v/>
      </c>
      <c r="C30" s="14">
        <f>IF($A30="","",MIN($D$4,F29+D30))</f>
        <v/>
      </c>
      <c r="D30" s="14">
        <f>IF($A30="","",F29*$B$6/12)</f>
        <v/>
      </c>
      <c r="E30" s="14">
        <f>IF($A30="","",C30-D30)</f>
        <v/>
      </c>
      <c r="F30" s="14">
        <f>IF($A30="","",F29-E30)</f>
        <v/>
      </c>
    </row>
    <row r="31">
      <c r="A31" s="12">
        <f>IF(11&gt;$B$5*12,"",11)</f>
        <v/>
      </c>
      <c r="B31" s="13">
        <f>IF($A31="","",EDATE($B$7,11))</f>
        <v/>
      </c>
      <c r="C31" s="14">
        <f>IF($A31="","",MIN($D$4,F30+D31))</f>
        <v/>
      </c>
      <c r="D31" s="14">
        <f>IF($A31="","",F30*$B$6/12)</f>
        <v/>
      </c>
      <c r="E31" s="14">
        <f>IF($A31="","",C31-D31)</f>
        <v/>
      </c>
      <c r="F31" s="14">
        <f>IF($A31="","",F30-E31)</f>
        <v/>
      </c>
    </row>
    <row r="32">
      <c r="A32" s="12">
        <f>IF(12&gt;$B$5*12,"",12)</f>
        <v/>
      </c>
      <c r="B32" s="13">
        <f>IF($A32="","",EDATE($B$7,12))</f>
        <v/>
      </c>
      <c r="C32" s="14">
        <f>IF($A32="","",MIN($D$4,F31+D32))</f>
        <v/>
      </c>
      <c r="D32" s="14">
        <f>IF($A32="","",F31*$B$6/12)</f>
        <v/>
      </c>
      <c r="E32" s="14">
        <f>IF($A32="","",C32-D32)</f>
        <v/>
      </c>
      <c r="F32" s="14">
        <f>IF($A32="","",F31-E32)</f>
        <v/>
      </c>
    </row>
    <row r="33">
      <c r="A33" s="12">
        <f>IF(13&gt;$B$5*12,"",13)</f>
        <v/>
      </c>
      <c r="B33" s="13">
        <f>IF($A33="","",EDATE($B$7,13))</f>
        <v/>
      </c>
      <c r="C33" s="14">
        <f>IF($A33="","",MIN($D$4,F32+D33))</f>
        <v/>
      </c>
      <c r="D33" s="14">
        <f>IF($A33="","",F32*$B$6/12)</f>
        <v/>
      </c>
      <c r="E33" s="14">
        <f>IF($A33="","",C33-D33)</f>
        <v/>
      </c>
      <c r="F33" s="14">
        <f>IF($A33="","",F32-E33)</f>
        <v/>
      </c>
    </row>
    <row r="34">
      <c r="A34" s="12">
        <f>IF(14&gt;$B$5*12,"",14)</f>
        <v/>
      </c>
      <c r="B34" s="13">
        <f>IF($A34="","",EDATE($B$7,14))</f>
        <v/>
      </c>
      <c r="C34" s="14">
        <f>IF($A34="","",MIN($D$4,F33+D34))</f>
        <v/>
      </c>
      <c r="D34" s="14">
        <f>IF($A34="","",F33*$B$6/12)</f>
        <v/>
      </c>
      <c r="E34" s="14">
        <f>IF($A34="","",C34-D34)</f>
        <v/>
      </c>
      <c r="F34" s="14">
        <f>IF($A34="","",F33-E34)</f>
        <v/>
      </c>
    </row>
    <row r="35">
      <c r="A35" s="12">
        <f>IF(15&gt;$B$5*12,"",15)</f>
        <v/>
      </c>
      <c r="B35" s="13">
        <f>IF($A35="","",EDATE($B$7,15))</f>
        <v/>
      </c>
      <c r="C35" s="14">
        <f>IF($A35="","",MIN($D$4,F34+D35))</f>
        <v/>
      </c>
      <c r="D35" s="14">
        <f>IF($A35="","",F34*$B$6/12)</f>
        <v/>
      </c>
      <c r="E35" s="14">
        <f>IF($A35="","",C35-D35)</f>
        <v/>
      </c>
      <c r="F35" s="14">
        <f>IF($A35="","",F34-E35)</f>
        <v/>
      </c>
    </row>
    <row r="36">
      <c r="A36" s="12">
        <f>IF(16&gt;$B$5*12,"",16)</f>
        <v/>
      </c>
      <c r="B36" s="13">
        <f>IF($A36="","",EDATE($B$7,16))</f>
        <v/>
      </c>
      <c r="C36" s="14">
        <f>IF($A36="","",MIN($D$4,F35+D36))</f>
        <v/>
      </c>
      <c r="D36" s="14">
        <f>IF($A36="","",F35*$B$6/12)</f>
        <v/>
      </c>
      <c r="E36" s="14">
        <f>IF($A36="","",C36-D36)</f>
        <v/>
      </c>
      <c r="F36" s="14">
        <f>IF($A36="","",F35-E36)</f>
        <v/>
      </c>
    </row>
    <row r="37">
      <c r="A37" s="12">
        <f>IF(17&gt;$B$5*12,"",17)</f>
        <v/>
      </c>
      <c r="B37" s="13">
        <f>IF($A37="","",EDATE($B$7,17))</f>
        <v/>
      </c>
      <c r="C37" s="14">
        <f>IF($A37="","",MIN($D$4,F36+D37))</f>
        <v/>
      </c>
      <c r="D37" s="14">
        <f>IF($A37="","",F36*$B$6/12)</f>
        <v/>
      </c>
      <c r="E37" s="14">
        <f>IF($A37="","",C37-D37)</f>
        <v/>
      </c>
      <c r="F37" s="14">
        <f>IF($A37="","",F36-E37)</f>
        <v/>
      </c>
    </row>
    <row r="38">
      <c r="A38" s="12">
        <f>IF(18&gt;$B$5*12,"",18)</f>
        <v/>
      </c>
      <c r="B38" s="13">
        <f>IF($A38="","",EDATE($B$7,18))</f>
        <v/>
      </c>
      <c r="C38" s="14">
        <f>IF($A38="","",MIN($D$4,F37+D38))</f>
        <v/>
      </c>
      <c r="D38" s="14">
        <f>IF($A38="","",F37*$B$6/12)</f>
        <v/>
      </c>
      <c r="E38" s="14">
        <f>IF($A38="","",C38-D38)</f>
        <v/>
      </c>
      <c r="F38" s="14">
        <f>IF($A38="","",F37-E38)</f>
        <v/>
      </c>
    </row>
    <row r="39">
      <c r="A39" s="12">
        <f>IF(19&gt;$B$5*12,"",19)</f>
        <v/>
      </c>
      <c r="B39" s="13">
        <f>IF($A39="","",EDATE($B$7,19))</f>
        <v/>
      </c>
      <c r="C39" s="14">
        <f>IF($A39="","",MIN($D$4,F38+D39))</f>
        <v/>
      </c>
      <c r="D39" s="14">
        <f>IF($A39="","",F38*$B$6/12)</f>
        <v/>
      </c>
      <c r="E39" s="14">
        <f>IF($A39="","",C39-D39)</f>
        <v/>
      </c>
      <c r="F39" s="14">
        <f>IF($A39="","",F38-E39)</f>
        <v/>
      </c>
    </row>
    <row r="40">
      <c r="A40" s="12">
        <f>IF(20&gt;$B$5*12,"",20)</f>
        <v/>
      </c>
      <c r="B40" s="13">
        <f>IF($A40="","",EDATE($B$7,20))</f>
        <v/>
      </c>
      <c r="C40" s="14">
        <f>IF($A40="","",MIN($D$4,F39+D40))</f>
        <v/>
      </c>
      <c r="D40" s="14">
        <f>IF($A40="","",F39*$B$6/12)</f>
        <v/>
      </c>
      <c r="E40" s="14">
        <f>IF($A40="","",C40-D40)</f>
        <v/>
      </c>
      <c r="F40" s="14">
        <f>IF($A40="","",F39-E40)</f>
        <v/>
      </c>
    </row>
    <row r="41">
      <c r="A41" s="12">
        <f>IF(21&gt;$B$5*12,"",21)</f>
        <v/>
      </c>
      <c r="B41" s="13">
        <f>IF($A41="","",EDATE($B$7,21))</f>
        <v/>
      </c>
      <c r="C41" s="14">
        <f>IF($A41="","",MIN($D$4,F40+D41))</f>
        <v/>
      </c>
      <c r="D41" s="14">
        <f>IF($A41="","",F40*$B$6/12)</f>
        <v/>
      </c>
      <c r="E41" s="14">
        <f>IF($A41="","",C41-D41)</f>
        <v/>
      </c>
      <c r="F41" s="14">
        <f>IF($A41="","",F40-E41)</f>
        <v/>
      </c>
    </row>
    <row r="42">
      <c r="A42" s="12">
        <f>IF(22&gt;$B$5*12,"",22)</f>
        <v/>
      </c>
      <c r="B42" s="13">
        <f>IF($A42="","",EDATE($B$7,22))</f>
        <v/>
      </c>
      <c r="C42" s="14">
        <f>IF($A42="","",MIN($D$4,F41+D42))</f>
        <v/>
      </c>
      <c r="D42" s="14">
        <f>IF($A42="","",F41*$B$6/12)</f>
        <v/>
      </c>
      <c r="E42" s="14">
        <f>IF($A42="","",C42-D42)</f>
        <v/>
      </c>
      <c r="F42" s="14">
        <f>IF($A42="","",F41-E42)</f>
        <v/>
      </c>
    </row>
    <row r="43">
      <c r="A43" s="12">
        <f>IF(23&gt;$B$5*12,"",23)</f>
        <v/>
      </c>
      <c r="B43" s="13">
        <f>IF($A43="","",EDATE($B$7,23))</f>
        <v/>
      </c>
      <c r="C43" s="14">
        <f>IF($A43="","",MIN($D$4,F42+D43))</f>
        <v/>
      </c>
      <c r="D43" s="14">
        <f>IF($A43="","",F42*$B$6/12)</f>
        <v/>
      </c>
      <c r="E43" s="14">
        <f>IF($A43="","",C43-D43)</f>
        <v/>
      </c>
      <c r="F43" s="14">
        <f>IF($A43="","",F42-E43)</f>
        <v/>
      </c>
    </row>
    <row r="44">
      <c r="A44" s="12">
        <f>IF(24&gt;$B$5*12,"",24)</f>
        <v/>
      </c>
      <c r="B44" s="13">
        <f>IF($A44="","",EDATE($B$7,24))</f>
        <v/>
      </c>
      <c r="C44" s="14">
        <f>IF($A44="","",MIN($D$4,F43+D44))</f>
        <v/>
      </c>
      <c r="D44" s="14">
        <f>IF($A44="","",F43*$B$6/12)</f>
        <v/>
      </c>
      <c r="E44" s="14">
        <f>IF($A44="","",C44-D44)</f>
        <v/>
      </c>
      <c r="F44" s="14">
        <f>IF($A44="","",F43-E44)</f>
        <v/>
      </c>
    </row>
    <row r="45">
      <c r="A45" s="12">
        <f>IF(25&gt;$B$5*12,"",25)</f>
        <v/>
      </c>
      <c r="B45" s="13">
        <f>IF($A45="","",EDATE($B$7,25))</f>
        <v/>
      </c>
      <c r="C45" s="14">
        <f>IF($A45="","",MIN($D$4,F44+D45))</f>
        <v/>
      </c>
      <c r="D45" s="14">
        <f>IF($A45="","",F44*$B$6/12)</f>
        <v/>
      </c>
      <c r="E45" s="14">
        <f>IF($A45="","",C45-D45)</f>
        <v/>
      </c>
      <c r="F45" s="14">
        <f>IF($A45="","",F44-E45)</f>
        <v/>
      </c>
    </row>
    <row r="46">
      <c r="A46" s="12">
        <f>IF(26&gt;$B$5*12,"",26)</f>
        <v/>
      </c>
      <c r="B46" s="13">
        <f>IF($A46="","",EDATE($B$7,26))</f>
        <v/>
      </c>
      <c r="C46" s="14">
        <f>IF($A46="","",MIN($D$4,F45+D46))</f>
        <v/>
      </c>
      <c r="D46" s="14">
        <f>IF($A46="","",F45*$B$6/12)</f>
        <v/>
      </c>
      <c r="E46" s="14">
        <f>IF($A46="","",C46-D46)</f>
        <v/>
      </c>
      <c r="F46" s="14">
        <f>IF($A46="","",F45-E46)</f>
        <v/>
      </c>
    </row>
    <row r="47">
      <c r="A47" s="12">
        <f>IF(27&gt;$B$5*12,"",27)</f>
        <v/>
      </c>
      <c r="B47" s="13">
        <f>IF($A47="","",EDATE($B$7,27))</f>
        <v/>
      </c>
      <c r="C47" s="14">
        <f>IF($A47="","",MIN($D$4,F46+D47))</f>
        <v/>
      </c>
      <c r="D47" s="14">
        <f>IF($A47="","",F46*$B$6/12)</f>
        <v/>
      </c>
      <c r="E47" s="14">
        <f>IF($A47="","",C47-D47)</f>
        <v/>
      </c>
      <c r="F47" s="14">
        <f>IF($A47="","",F46-E47)</f>
        <v/>
      </c>
    </row>
    <row r="48">
      <c r="A48" s="12">
        <f>IF(28&gt;$B$5*12,"",28)</f>
        <v/>
      </c>
      <c r="B48" s="13">
        <f>IF($A48="","",EDATE($B$7,28))</f>
        <v/>
      </c>
      <c r="C48" s="14">
        <f>IF($A48="","",MIN($D$4,F47+D48))</f>
        <v/>
      </c>
      <c r="D48" s="14">
        <f>IF($A48="","",F47*$B$6/12)</f>
        <v/>
      </c>
      <c r="E48" s="14">
        <f>IF($A48="","",C48-D48)</f>
        <v/>
      </c>
      <c r="F48" s="14">
        <f>IF($A48="","",F47-E48)</f>
        <v/>
      </c>
    </row>
    <row r="49">
      <c r="A49" s="12">
        <f>IF(29&gt;$B$5*12,"",29)</f>
        <v/>
      </c>
      <c r="B49" s="13">
        <f>IF($A49="","",EDATE($B$7,29))</f>
        <v/>
      </c>
      <c r="C49" s="14">
        <f>IF($A49="","",MIN($D$4,F48+D49))</f>
        <v/>
      </c>
      <c r="D49" s="14">
        <f>IF($A49="","",F48*$B$6/12)</f>
        <v/>
      </c>
      <c r="E49" s="14">
        <f>IF($A49="","",C49-D49)</f>
        <v/>
      </c>
      <c r="F49" s="14">
        <f>IF($A49="","",F48-E49)</f>
        <v/>
      </c>
    </row>
    <row r="50">
      <c r="A50" s="12">
        <f>IF(30&gt;$B$5*12,"",30)</f>
        <v/>
      </c>
      <c r="B50" s="13">
        <f>IF($A50="","",EDATE($B$7,30))</f>
        <v/>
      </c>
      <c r="C50" s="14">
        <f>IF($A50="","",MIN($D$4,F49+D50))</f>
        <v/>
      </c>
      <c r="D50" s="14">
        <f>IF($A50="","",F49*$B$6/12)</f>
        <v/>
      </c>
      <c r="E50" s="14">
        <f>IF($A50="","",C50-D50)</f>
        <v/>
      </c>
      <c r="F50" s="14">
        <f>IF($A50="","",F49-E50)</f>
        <v/>
      </c>
    </row>
    <row r="51">
      <c r="A51" s="12">
        <f>IF(31&gt;$B$5*12,"",31)</f>
        <v/>
      </c>
      <c r="B51" s="13">
        <f>IF($A51="","",EDATE($B$7,31))</f>
        <v/>
      </c>
      <c r="C51" s="14">
        <f>IF($A51="","",MIN($D$4,F50+D51))</f>
        <v/>
      </c>
      <c r="D51" s="14">
        <f>IF($A51="","",F50*$B$6/12)</f>
        <v/>
      </c>
      <c r="E51" s="14">
        <f>IF($A51="","",C51-D51)</f>
        <v/>
      </c>
      <c r="F51" s="14">
        <f>IF($A51="","",F50-E51)</f>
        <v/>
      </c>
    </row>
    <row r="52">
      <c r="A52" s="12">
        <f>IF(32&gt;$B$5*12,"",32)</f>
        <v/>
      </c>
      <c r="B52" s="13">
        <f>IF($A52="","",EDATE($B$7,32))</f>
        <v/>
      </c>
      <c r="C52" s="14">
        <f>IF($A52="","",MIN($D$4,F51+D52))</f>
        <v/>
      </c>
      <c r="D52" s="14">
        <f>IF($A52="","",F51*$B$6/12)</f>
        <v/>
      </c>
      <c r="E52" s="14">
        <f>IF($A52="","",C52-D52)</f>
        <v/>
      </c>
      <c r="F52" s="14">
        <f>IF($A52="","",F51-E52)</f>
        <v/>
      </c>
    </row>
    <row r="53">
      <c r="A53" s="12">
        <f>IF(33&gt;$B$5*12,"",33)</f>
        <v/>
      </c>
      <c r="B53" s="13">
        <f>IF($A53="","",EDATE($B$7,33))</f>
        <v/>
      </c>
      <c r="C53" s="14">
        <f>IF($A53="","",MIN($D$4,F52+D53))</f>
        <v/>
      </c>
      <c r="D53" s="14">
        <f>IF($A53="","",F52*$B$6/12)</f>
        <v/>
      </c>
      <c r="E53" s="14">
        <f>IF($A53="","",C53-D53)</f>
        <v/>
      </c>
      <c r="F53" s="14">
        <f>IF($A53="","",F52-E53)</f>
        <v/>
      </c>
    </row>
    <row r="54">
      <c r="A54" s="12">
        <f>IF(34&gt;$B$5*12,"",34)</f>
        <v/>
      </c>
      <c r="B54" s="13">
        <f>IF($A54="","",EDATE($B$7,34))</f>
        <v/>
      </c>
      <c r="C54" s="14">
        <f>IF($A54="","",MIN($D$4,F53+D54))</f>
        <v/>
      </c>
      <c r="D54" s="14">
        <f>IF($A54="","",F53*$B$6/12)</f>
        <v/>
      </c>
      <c r="E54" s="14">
        <f>IF($A54="","",C54-D54)</f>
        <v/>
      </c>
      <c r="F54" s="14">
        <f>IF($A54="","",F53-E54)</f>
        <v/>
      </c>
    </row>
    <row r="55">
      <c r="A55" s="12">
        <f>IF(35&gt;$B$5*12,"",35)</f>
        <v/>
      </c>
      <c r="B55" s="13">
        <f>IF($A55="","",EDATE($B$7,35))</f>
        <v/>
      </c>
      <c r="C55" s="14">
        <f>IF($A55="","",MIN($D$4,F54+D55))</f>
        <v/>
      </c>
      <c r="D55" s="14">
        <f>IF($A55="","",F54*$B$6/12)</f>
        <v/>
      </c>
      <c r="E55" s="14">
        <f>IF($A55="","",C55-D55)</f>
        <v/>
      </c>
      <c r="F55" s="14">
        <f>IF($A55="","",F54-E55)</f>
        <v/>
      </c>
    </row>
    <row r="56">
      <c r="A56" s="12">
        <f>IF(36&gt;$B$5*12,"",36)</f>
        <v/>
      </c>
      <c r="B56" s="13">
        <f>IF($A56="","",EDATE($B$7,36))</f>
        <v/>
      </c>
      <c r="C56" s="14">
        <f>IF($A56="","",MIN($D$4,F55+D56))</f>
        <v/>
      </c>
      <c r="D56" s="14">
        <f>IF($A56="","",F55*$B$6/12)</f>
        <v/>
      </c>
      <c r="E56" s="14">
        <f>IF($A56="","",C56-D56)</f>
        <v/>
      </c>
      <c r="F56" s="14">
        <f>IF($A56="","",F55-E56)</f>
        <v/>
      </c>
    </row>
    <row r="57">
      <c r="A57" s="12">
        <f>IF(37&gt;$B$5*12,"",37)</f>
        <v/>
      </c>
      <c r="B57" s="13">
        <f>IF($A57="","",EDATE($B$7,37))</f>
        <v/>
      </c>
      <c r="C57" s="14">
        <f>IF($A57="","",MIN($D$4,F56+D57))</f>
        <v/>
      </c>
      <c r="D57" s="14">
        <f>IF($A57="","",F56*$B$6/12)</f>
        <v/>
      </c>
      <c r="E57" s="14">
        <f>IF($A57="","",C57-D57)</f>
        <v/>
      </c>
      <c r="F57" s="14">
        <f>IF($A57="","",F56-E57)</f>
        <v/>
      </c>
    </row>
    <row r="58">
      <c r="A58" s="12">
        <f>IF(38&gt;$B$5*12,"",38)</f>
        <v/>
      </c>
      <c r="B58" s="13">
        <f>IF($A58="","",EDATE($B$7,38))</f>
        <v/>
      </c>
      <c r="C58" s="14">
        <f>IF($A58="","",MIN($D$4,F57+D58))</f>
        <v/>
      </c>
      <c r="D58" s="14">
        <f>IF($A58="","",F57*$B$6/12)</f>
        <v/>
      </c>
      <c r="E58" s="14">
        <f>IF($A58="","",C58-D58)</f>
        <v/>
      </c>
      <c r="F58" s="14">
        <f>IF($A58="","",F57-E58)</f>
        <v/>
      </c>
    </row>
    <row r="59">
      <c r="A59" s="12">
        <f>IF(39&gt;$B$5*12,"",39)</f>
        <v/>
      </c>
      <c r="B59" s="13">
        <f>IF($A59="","",EDATE($B$7,39))</f>
        <v/>
      </c>
      <c r="C59" s="14">
        <f>IF($A59="","",MIN($D$4,F58+D59))</f>
        <v/>
      </c>
      <c r="D59" s="14">
        <f>IF($A59="","",F58*$B$6/12)</f>
        <v/>
      </c>
      <c r="E59" s="14">
        <f>IF($A59="","",C59-D59)</f>
        <v/>
      </c>
      <c r="F59" s="14">
        <f>IF($A59="","",F58-E59)</f>
        <v/>
      </c>
    </row>
    <row r="60">
      <c r="A60" s="12">
        <f>IF(40&gt;$B$5*12,"",40)</f>
        <v/>
      </c>
      <c r="B60" s="13">
        <f>IF($A60="","",EDATE($B$7,40))</f>
        <v/>
      </c>
      <c r="C60" s="14">
        <f>IF($A60="","",MIN($D$4,F59+D60))</f>
        <v/>
      </c>
      <c r="D60" s="14">
        <f>IF($A60="","",F59*$B$6/12)</f>
        <v/>
      </c>
      <c r="E60" s="14">
        <f>IF($A60="","",C60-D60)</f>
        <v/>
      </c>
      <c r="F60" s="14">
        <f>IF($A60="","",F59-E60)</f>
        <v/>
      </c>
    </row>
    <row r="61">
      <c r="A61" s="12">
        <f>IF(41&gt;$B$5*12,"",41)</f>
        <v/>
      </c>
      <c r="B61" s="13">
        <f>IF($A61="","",EDATE($B$7,41))</f>
        <v/>
      </c>
      <c r="C61" s="14">
        <f>IF($A61="","",MIN($D$4,F60+D61))</f>
        <v/>
      </c>
      <c r="D61" s="14">
        <f>IF($A61="","",F60*$B$6/12)</f>
        <v/>
      </c>
      <c r="E61" s="14">
        <f>IF($A61="","",C61-D61)</f>
        <v/>
      </c>
      <c r="F61" s="14">
        <f>IF($A61="","",F60-E61)</f>
        <v/>
      </c>
    </row>
    <row r="62">
      <c r="A62" s="12">
        <f>IF(42&gt;$B$5*12,"",42)</f>
        <v/>
      </c>
      <c r="B62" s="13">
        <f>IF($A62="","",EDATE($B$7,42))</f>
        <v/>
      </c>
      <c r="C62" s="14">
        <f>IF($A62="","",MIN($D$4,F61+D62))</f>
        <v/>
      </c>
      <c r="D62" s="14">
        <f>IF($A62="","",F61*$B$6/12)</f>
        <v/>
      </c>
      <c r="E62" s="14">
        <f>IF($A62="","",C62-D62)</f>
        <v/>
      </c>
      <c r="F62" s="14">
        <f>IF($A62="","",F61-E62)</f>
        <v/>
      </c>
    </row>
    <row r="63">
      <c r="A63" s="12">
        <f>IF(43&gt;$B$5*12,"",43)</f>
        <v/>
      </c>
      <c r="B63" s="13">
        <f>IF($A63="","",EDATE($B$7,43))</f>
        <v/>
      </c>
      <c r="C63" s="14">
        <f>IF($A63="","",MIN($D$4,F62+D63))</f>
        <v/>
      </c>
      <c r="D63" s="14">
        <f>IF($A63="","",F62*$B$6/12)</f>
        <v/>
      </c>
      <c r="E63" s="14">
        <f>IF($A63="","",C63-D63)</f>
        <v/>
      </c>
      <c r="F63" s="14">
        <f>IF($A63="","",F62-E63)</f>
        <v/>
      </c>
    </row>
    <row r="64">
      <c r="A64" s="12">
        <f>IF(44&gt;$B$5*12,"",44)</f>
        <v/>
      </c>
      <c r="B64" s="13">
        <f>IF($A64="","",EDATE($B$7,44))</f>
        <v/>
      </c>
      <c r="C64" s="14">
        <f>IF($A64="","",MIN($D$4,F63+D64))</f>
        <v/>
      </c>
      <c r="D64" s="14">
        <f>IF($A64="","",F63*$B$6/12)</f>
        <v/>
      </c>
      <c r="E64" s="14">
        <f>IF($A64="","",C64-D64)</f>
        <v/>
      </c>
      <c r="F64" s="14">
        <f>IF($A64="","",F63-E64)</f>
        <v/>
      </c>
    </row>
    <row r="65">
      <c r="A65" s="12">
        <f>IF(45&gt;$B$5*12,"",45)</f>
        <v/>
      </c>
      <c r="B65" s="13">
        <f>IF($A65="","",EDATE($B$7,45))</f>
        <v/>
      </c>
      <c r="C65" s="14">
        <f>IF($A65="","",MIN($D$4,F64+D65))</f>
        <v/>
      </c>
      <c r="D65" s="14">
        <f>IF($A65="","",F64*$B$6/12)</f>
        <v/>
      </c>
      <c r="E65" s="14">
        <f>IF($A65="","",C65-D65)</f>
        <v/>
      </c>
      <c r="F65" s="14">
        <f>IF($A65="","",F64-E65)</f>
        <v/>
      </c>
    </row>
    <row r="66">
      <c r="A66" s="12">
        <f>IF(46&gt;$B$5*12,"",46)</f>
        <v/>
      </c>
      <c r="B66" s="13">
        <f>IF($A66="","",EDATE($B$7,46))</f>
        <v/>
      </c>
      <c r="C66" s="14">
        <f>IF($A66="","",MIN($D$4,F65+D66))</f>
        <v/>
      </c>
      <c r="D66" s="14">
        <f>IF($A66="","",F65*$B$6/12)</f>
        <v/>
      </c>
      <c r="E66" s="14">
        <f>IF($A66="","",C66-D66)</f>
        <v/>
      </c>
      <c r="F66" s="14">
        <f>IF($A66="","",F65-E66)</f>
        <v/>
      </c>
    </row>
    <row r="67">
      <c r="A67" s="12">
        <f>IF(47&gt;$B$5*12,"",47)</f>
        <v/>
      </c>
      <c r="B67" s="13">
        <f>IF($A67="","",EDATE($B$7,47))</f>
        <v/>
      </c>
      <c r="C67" s="14">
        <f>IF($A67="","",MIN($D$4,F66+D67))</f>
        <v/>
      </c>
      <c r="D67" s="14">
        <f>IF($A67="","",F66*$B$6/12)</f>
        <v/>
      </c>
      <c r="E67" s="14">
        <f>IF($A67="","",C67-D67)</f>
        <v/>
      </c>
      <c r="F67" s="14">
        <f>IF($A67="","",F66-E67)</f>
        <v/>
      </c>
    </row>
    <row r="68">
      <c r="A68" s="12">
        <f>IF(48&gt;$B$5*12,"",48)</f>
        <v/>
      </c>
      <c r="B68" s="13">
        <f>IF($A68="","",EDATE($B$7,48))</f>
        <v/>
      </c>
      <c r="C68" s="14">
        <f>IF($A68="","",MIN($D$4,F67+D68))</f>
        <v/>
      </c>
      <c r="D68" s="14">
        <f>IF($A68="","",F67*$B$6/12)</f>
        <v/>
      </c>
      <c r="E68" s="14">
        <f>IF($A68="","",C68-D68)</f>
        <v/>
      </c>
      <c r="F68" s="14">
        <f>IF($A68="","",F67-E68)</f>
        <v/>
      </c>
    </row>
    <row r="69">
      <c r="A69" s="12">
        <f>IF(49&gt;$B$5*12,"",49)</f>
        <v/>
      </c>
      <c r="B69" s="13">
        <f>IF($A69="","",EDATE($B$7,49))</f>
        <v/>
      </c>
      <c r="C69" s="14">
        <f>IF($A69="","",MIN($D$4,F68+D69))</f>
        <v/>
      </c>
      <c r="D69" s="14">
        <f>IF($A69="","",F68*$B$6/12)</f>
        <v/>
      </c>
      <c r="E69" s="14">
        <f>IF($A69="","",C69-D69)</f>
        <v/>
      </c>
      <c r="F69" s="14">
        <f>IF($A69="","",F68-E69)</f>
        <v/>
      </c>
    </row>
    <row r="70">
      <c r="A70" s="12">
        <f>IF(50&gt;$B$5*12,"",50)</f>
        <v/>
      </c>
      <c r="B70" s="13">
        <f>IF($A70="","",EDATE($B$7,50))</f>
        <v/>
      </c>
      <c r="C70" s="14">
        <f>IF($A70="","",MIN($D$4,F69+D70))</f>
        <v/>
      </c>
      <c r="D70" s="14">
        <f>IF($A70="","",F69*$B$6/12)</f>
        <v/>
      </c>
      <c r="E70" s="14">
        <f>IF($A70="","",C70-D70)</f>
        <v/>
      </c>
      <c r="F70" s="14">
        <f>IF($A70="","",F69-E70)</f>
        <v/>
      </c>
    </row>
    <row r="71">
      <c r="A71" s="12">
        <f>IF(51&gt;$B$5*12,"",51)</f>
        <v/>
      </c>
      <c r="B71" s="13">
        <f>IF($A71="","",EDATE($B$7,51))</f>
        <v/>
      </c>
      <c r="C71" s="14">
        <f>IF($A71="","",MIN($D$4,F70+D71))</f>
        <v/>
      </c>
      <c r="D71" s="14">
        <f>IF($A71="","",F70*$B$6/12)</f>
        <v/>
      </c>
      <c r="E71" s="14">
        <f>IF($A71="","",C71-D71)</f>
        <v/>
      </c>
      <c r="F71" s="14">
        <f>IF($A71="","",F70-E71)</f>
        <v/>
      </c>
    </row>
    <row r="72">
      <c r="A72" s="12">
        <f>IF(52&gt;$B$5*12,"",52)</f>
        <v/>
      </c>
      <c r="B72" s="13">
        <f>IF($A72="","",EDATE($B$7,52))</f>
        <v/>
      </c>
      <c r="C72" s="14">
        <f>IF($A72="","",MIN($D$4,F71+D72))</f>
        <v/>
      </c>
      <c r="D72" s="14">
        <f>IF($A72="","",F71*$B$6/12)</f>
        <v/>
      </c>
      <c r="E72" s="14">
        <f>IF($A72="","",C72-D72)</f>
        <v/>
      </c>
      <c r="F72" s="14">
        <f>IF($A72="","",F71-E72)</f>
        <v/>
      </c>
    </row>
    <row r="73">
      <c r="A73" s="12">
        <f>IF(53&gt;$B$5*12,"",53)</f>
        <v/>
      </c>
      <c r="B73" s="13">
        <f>IF($A73="","",EDATE($B$7,53))</f>
        <v/>
      </c>
      <c r="C73" s="14">
        <f>IF($A73="","",MIN($D$4,F72+D73))</f>
        <v/>
      </c>
      <c r="D73" s="14">
        <f>IF($A73="","",F72*$B$6/12)</f>
        <v/>
      </c>
      <c r="E73" s="14">
        <f>IF($A73="","",C73-D73)</f>
        <v/>
      </c>
      <c r="F73" s="14">
        <f>IF($A73="","",F72-E73)</f>
        <v/>
      </c>
    </row>
    <row r="74">
      <c r="A74" s="12">
        <f>IF(54&gt;$B$5*12,"",54)</f>
        <v/>
      </c>
      <c r="B74" s="13">
        <f>IF($A74="","",EDATE($B$7,54))</f>
        <v/>
      </c>
      <c r="C74" s="14">
        <f>IF($A74="","",MIN($D$4,F73+D74))</f>
        <v/>
      </c>
      <c r="D74" s="14">
        <f>IF($A74="","",F73*$B$6/12)</f>
        <v/>
      </c>
      <c r="E74" s="14">
        <f>IF($A74="","",C74-D74)</f>
        <v/>
      </c>
      <c r="F74" s="14">
        <f>IF($A74="","",F73-E74)</f>
        <v/>
      </c>
    </row>
    <row r="75">
      <c r="A75" s="12">
        <f>IF(55&gt;$B$5*12,"",55)</f>
        <v/>
      </c>
      <c r="B75" s="13">
        <f>IF($A75="","",EDATE($B$7,55))</f>
        <v/>
      </c>
      <c r="C75" s="14">
        <f>IF($A75="","",MIN($D$4,F74+D75))</f>
        <v/>
      </c>
      <c r="D75" s="14">
        <f>IF($A75="","",F74*$B$6/12)</f>
        <v/>
      </c>
      <c r="E75" s="14">
        <f>IF($A75="","",C75-D75)</f>
        <v/>
      </c>
      <c r="F75" s="14">
        <f>IF($A75="","",F74-E75)</f>
        <v/>
      </c>
    </row>
    <row r="76">
      <c r="A76" s="12">
        <f>IF(56&gt;$B$5*12,"",56)</f>
        <v/>
      </c>
      <c r="B76" s="13">
        <f>IF($A76="","",EDATE($B$7,56))</f>
        <v/>
      </c>
      <c r="C76" s="14">
        <f>IF($A76="","",MIN($D$4,F75+D76))</f>
        <v/>
      </c>
      <c r="D76" s="14">
        <f>IF($A76="","",F75*$B$6/12)</f>
        <v/>
      </c>
      <c r="E76" s="14">
        <f>IF($A76="","",C76-D76)</f>
        <v/>
      </c>
      <c r="F76" s="14">
        <f>IF($A76="","",F75-E76)</f>
        <v/>
      </c>
    </row>
    <row r="77">
      <c r="A77" s="12">
        <f>IF(57&gt;$B$5*12,"",57)</f>
        <v/>
      </c>
      <c r="B77" s="13">
        <f>IF($A77="","",EDATE($B$7,57))</f>
        <v/>
      </c>
      <c r="C77" s="14">
        <f>IF($A77="","",MIN($D$4,F76+D77))</f>
        <v/>
      </c>
      <c r="D77" s="14">
        <f>IF($A77="","",F76*$B$6/12)</f>
        <v/>
      </c>
      <c r="E77" s="14">
        <f>IF($A77="","",C77-D77)</f>
        <v/>
      </c>
      <c r="F77" s="14">
        <f>IF($A77="","",F76-E77)</f>
        <v/>
      </c>
    </row>
    <row r="78">
      <c r="A78" s="12">
        <f>IF(58&gt;$B$5*12,"",58)</f>
        <v/>
      </c>
      <c r="B78" s="13">
        <f>IF($A78="","",EDATE($B$7,58))</f>
        <v/>
      </c>
      <c r="C78" s="14">
        <f>IF($A78="","",MIN($D$4,F77+D78))</f>
        <v/>
      </c>
      <c r="D78" s="14">
        <f>IF($A78="","",F77*$B$6/12)</f>
        <v/>
      </c>
      <c r="E78" s="14">
        <f>IF($A78="","",C78-D78)</f>
        <v/>
      </c>
      <c r="F78" s="14">
        <f>IF($A78="","",F77-E78)</f>
        <v/>
      </c>
    </row>
    <row r="79">
      <c r="A79" s="12">
        <f>IF(59&gt;$B$5*12,"",59)</f>
        <v/>
      </c>
      <c r="B79" s="13">
        <f>IF($A79="","",EDATE($B$7,59))</f>
        <v/>
      </c>
      <c r="C79" s="14">
        <f>IF($A79="","",MIN($D$4,F78+D79))</f>
        <v/>
      </c>
      <c r="D79" s="14">
        <f>IF($A79="","",F78*$B$6/12)</f>
        <v/>
      </c>
      <c r="E79" s="14">
        <f>IF($A79="","",C79-D79)</f>
        <v/>
      </c>
      <c r="F79" s="14">
        <f>IF($A79="","",F78-E79)</f>
        <v/>
      </c>
    </row>
    <row r="80">
      <c r="A80" s="12">
        <f>IF(60&gt;$B$5*12,"",60)</f>
        <v/>
      </c>
      <c r="B80" s="13">
        <f>IF($A80="","",EDATE($B$7,60))</f>
        <v/>
      </c>
      <c r="C80" s="14">
        <f>IF($A80="","",MIN($D$4,F79+D80))</f>
        <v/>
      </c>
      <c r="D80" s="14">
        <f>IF($A80="","",F79*$B$6/12)</f>
        <v/>
      </c>
      <c r="E80" s="14">
        <f>IF($A80="","",C80-D80)</f>
        <v/>
      </c>
      <c r="F80" s="14">
        <f>IF($A80="","",F79-E80)</f>
        <v/>
      </c>
    </row>
    <row r="81">
      <c r="A81" s="12">
        <f>IF(61&gt;$B$5*12,"",61)</f>
        <v/>
      </c>
      <c r="B81" s="13">
        <f>IF($A81="","",EDATE($B$7,61))</f>
        <v/>
      </c>
      <c r="C81" s="14">
        <f>IF($A81="","",MIN($D$4,F80+D81))</f>
        <v/>
      </c>
      <c r="D81" s="14">
        <f>IF($A81="","",F80*$B$6/12)</f>
        <v/>
      </c>
      <c r="E81" s="14">
        <f>IF($A81="","",C81-D81)</f>
        <v/>
      </c>
      <c r="F81" s="14">
        <f>IF($A81="","",F80-E81)</f>
        <v/>
      </c>
    </row>
    <row r="82">
      <c r="A82" s="12">
        <f>IF(62&gt;$B$5*12,"",62)</f>
        <v/>
      </c>
      <c r="B82" s="13">
        <f>IF($A82="","",EDATE($B$7,62))</f>
        <v/>
      </c>
      <c r="C82" s="14">
        <f>IF($A82="","",MIN($D$4,F81+D82))</f>
        <v/>
      </c>
      <c r="D82" s="14">
        <f>IF($A82="","",F81*$B$6/12)</f>
        <v/>
      </c>
      <c r="E82" s="14">
        <f>IF($A82="","",C82-D82)</f>
        <v/>
      </c>
      <c r="F82" s="14">
        <f>IF($A82="","",F81-E82)</f>
        <v/>
      </c>
    </row>
    <row r="83">
      <c r="A83" s="12">
        <f>IF(63&gt;$B$5*12,"",63)</f>
        <v/>
      </c>
      <c r="B83" s="13">
        <f>IF($A83="","",EDATE($B$7,63))</f>
        <v/>
      </c>
      <c r="C83" s="14">
        <f>IF($A83="","",MIN($D$4,F82+D83))</f>
        <v/>
      </c>
      <c r="D83" s="14">
        <f>IF($A83="","",F82*$B$6/12)</f>
        <v/>
      </c>
      <c r="E83" s="14">
        <f>IF($A83="","",C83-D83)</f>
        <v/>
      </c>
      <c r="F83" s="14">
        <f>IF($A83="","",F82-E83)</f>
        <v/>
      </c>
    </row>
    <row r="84">
      <c r="A84" s="12">
        <f>IF(64&gt;$B$5*12,"",64)</f>
        <v/>
      </c>
      <c r="B84" s="13">
        <f>IF($A84="","",EDATE($B$7,64))</f>
        <v/>
      </c>
      <c r="C84" s="14">
        <f>IF($A84="","",MIN($D$4,F83+D84))</f>
        <v/>
      </c>
      <c r="D84" s="14">
        <f>IF($A84="","",F83*$B$6/12)</f>
        <v/>
      </c>
      <c r="E84" s="14">
        <f>IF($A84="","",C84-D84)</f>
        <v/>
      </c>
      <c r="F84" s="14">
        <f>IF($A84="","",F83-E84)</f>
        <v/>
      </c>
    </row>
    <row r="85">
      <c r="A85" s="12">
        <f>IF(65&gt;$B$5*12,"",65)</f>
        <v/>
      </c>
      <c r="B85" s="13">
        <f>IF($A85="","",EDATE($B$7,65))</f>
        <v/>
      </c>
      <c r="C85" s="14">
        <f>IF($A85="","",MIN($D$4,F84+D85))</f>
        <v/>
      </c>
      <c r="D85" s="14">
        <f>IF($A85="","",F84*$B$6/12)</f>
        <v/>
      </c>
      <c r="E85" s="14">
        <f>IF($A85="","",C85-D85)</f>
        <v/>
      </c>
      <c r="F85" s="14">
        <f>IF($A85="","",F84-E85)</f>
        <v/>
      </c>
    </row>
    <row r="86">
      <c r="A86" s="12">
        <f>IF(66&gt;$B$5*12,"",66)</f>
        <v/>
      </c>
      <c r="B86" s="13">
        <f>IF($A86="","",EDATE($B$7,66))</f>
        <v/>
      </c>
      <c r="C86" s="14">
        <f>IF($A86="","",MIN($D$4,F85+D86))</f>
        <v/>
      </c>
      <c r="D86" s="14">
        <f>IF($A86="","",F85*$B$6/12)</f>
        <v/>
      </c>
      <c r="E86" s="14">
        <f>IF($A86="","",C86-D86)</f>
        <v/>
      </c>
      <c r="F86" s="14">
        <f>IF($A86="","",F85-E86)</f>
        <v/>
      </c>
    </row>
    <row r="87">
      <c r="A87" s="12">
        <f>IF(67&gt;$B$5*12,"",67)</f>
        <v/>
      </c>
      <c r="B87" s="13">
        <f>IF($A87="","",EDATE($B$7,67))</f>
        <v/>
      </c>
      <c r="C87" s="14">
        <f>IF($A87="","",MIN($D$4,F86+D87))</f>
        <v/>
      </c>
      <c r="D87" s="14">
        <f>IF($A87="","",F86*$B$6/12)</f>
        <v/>
      </c>
      <c r="E87" s="14">
        <f>IF($A87="","",C87-D87)</f>
        <v/>
      </c>
      <c r="F87" s="14">
        <f>IF($A87="","",F86-E87)</f>
        <v/>
      </c>
    </row>
    <row r="88">
      <c r="A88" s="12">
        <f>IF(68&gt;$B$5*12,"",68)</f>
        <v/>
      </c>
      <c r="B88" s="13">
        <f>IF($A88="","",EDATE($B$7,68))</f>
        <v/>
      </c>
      <c r="C88" s="14">
        <f>IF($A88="","",MIN($D$4,F87+D88))</f>
        <v/>
      </c>
      <c r="D88" s="14">
        <f>IF($A88="","",F87*$B$6/12)</f>
        <v/>
      </c>
      <c r="E88" s="14">
        <f>IF($A88="","",C88-D88)</f>
        <v/>
      </c>
      <c r="F88" s="14">
        <f>IF($A88="","",F87-E88)</f>
        <v/>
      </c>
    </row>
    <row r="89">
      <c r="A89" s="12">
        <f>IF(69&gt;$B$5*12,"",69)</f>
        <v/>
      </c>
      <c r="B89" s="13">
        <f>IF($A89="","",EDATE($B$7,69))</f>
        <v/>
      </c>
      <c r="C89" s="14">
        <f>IF($A89="","",MIN($D$4,F88+D89))</f>
        <v/>
      </c>
      <c r="D89" s="14">
        <f>IF($A89="","",F88*$B$6/12)</f>
        <v/>
      </c>
      <c r="E89" s="14">
        <f>IF($A89="","",C89-D89)</f>
        <v/>
      </c>
      <c r="F89" s="14">
        <f>IF($A89="","",F88-E89)</f>
        <v/>
      </c>
    </row>
    <row r="90">
      <c r="A90" s="12">
        <f>IF(70&gt;$B$5*12,"",70)</f>
        <v/>
      </c>
      <c r="B90" s="13">
        <f>IF($A90="","",EDATE($B$7,70))</f>
        <v/>
      </c>
      <c r="C90" s="14">
        <f>IF($A90="","",MIN($D$4,F89+D90))</f>
        <v/>
      </c>
      <c r="D90" s="14">
        <f>IF($A90="","",F89*$B$6/12)</f>
        <v/>
      </c>
      <c r="E90" s="14">
        <f>IF($A90="","",C90-D90)</f>
        <v/>
      </c>
      <c r="F90" s="14">
        <f>IF($A90="","",F89-E90)</f>
        <v/>
      </c>
    </row>
    <row r="91">
      <c r="A91" s="12">
        <f>IF(71&gt;$B$5*12,"",71)</f>
        <v/>
      </c>
      <c r="B91" s="13">
        <f>IF($A91="","",EDATE($B$7,71))</f>
        <v/>
      </c>
      <c r="C91" s="14">
        <f>IF($A91="","",MIN($D$4,F90+D91))</f>
        <v/>
      </c>
      <c r="D91" s="14">
        <f>IF($A91="","",F90*$B$6/12)</f>
        <v/>
      </c>
      <c r="E91" s="14">
        <f>IF($A91="","",C91-D91)</f>
        <v/>
      </c>
      <c r="F91" s="14">
        <f>IF($A91="","",F90-E91)</f>
        <v/>
      </c>
    </row>
    <row r="92">
      <c r="A92" s="12">
        <f>IF(72&gt;$B$5*12,"",72)</f>
        <v/>
      </c>
      <c r="B92" s="13">
        <f>IF($A92="","",EDATE($B$7,72))</f>
        <v/>
      </c>
      <c r="C92" s="14">
        <f>IF($A92="","",MIN($D$4,F91+D92))</f>
        <v/>
      </c>
      <c r="D92" s="14">
        <f>IF($A92="","",F91*$B$6/12)</f>
        <v/>
      </c>
      <c r="E92" s="14">
        <f>IF($A92="","",C92-D92)</f>
        <v/>
      </c>
      <c r="F92" s="14">
        <f>IF($A92="","",F91-E92)</f>
        <v/>
      </c>
    </row>
    <row r="93">
      <c r="A93" s="12">
        <f>IF(73&gt;$B$5*12,"",73)</f>
        <v/>
      </c>
      <c r="B93" s="13">
        <f>IF($A93="","",EDATE($B$7,73))</f>
        <v/>
      </c>
      <c r="C93" s="14">
        <f>IF($A93="","",MIN($D$4,F92+D93))</f>
        <v/>
      </c>
      <c r="D93" s="14">
        <f>IF($A93="","",F92*$B$6/12)</f>
        <v/>
      </c>
      <c r="E93" s="14">
        <f>IF($A93="","",C93-D93)</f>
        <v/>
      </c>
      <c r="F93" s="14">
        <f>IF($A93="","",F92-E93)</f>
        <v/>
      </c>
    </row>
    <row r="94">
      <c r="A94" s="12">
        <f>IF(74&gt;$B$5*12,"",74)</f>
        <v/>
      </c>
      <c r="B94" s="13">
        <f>IF($A94="","",EDATE($B$7,74))</f>
        <v/>
      </c>
      <c r="C94" s="14">
        <f>IF($A94="","",MIN($D$4,F93+D94))</f>
        <v/>
      </c>
      <c r="D94" s="14">
        <f>IF($A94="","",F93*$B$6/12)</f>
        <v/>
      </c>
      <c r="E94" s="14">
        <f>IF($A94="","",C94-D94)</f>
        <v/>
      </c>
      <c r="F94" s="14">
        <f>IF($A94="","",F93-E94)</f>
        <v/>
      </c>
    </row>
    <row r="95">
      <c r="A95" s="12">
        <f>IF(75&gt;$B$5*12,"",75)</f>
        <v/>
      </c>
      <c r="B95" s="13">
        <f>IF($A95="","",EDATE($B$7,75))</f>
        <v/>
      </c>
      <c r="C95" s="14">
        <f>IF($A95="","",MIN($D$4,F94+D95))</f>
        <v/>
      </c>
      <c r="D95" s="14">
        <f>IF($A95="","",F94*$B$6/12)</f>
        <v/>
      </c>
      <c r="E95" s="14">
        <f>IF($A95="","",C95-D95)</f>
        <v/>
      </c>
      <c r="F95" s="14">
        <f>IF($A95="","",F94-E95)</f>
        <v/>
      </c>
    </row>
    <row r="96">
      <c r="A96" s="12">
        <f>IF(76&gt;$B$5*12,"",76)</f>
        <v/>
      </c>
      <c r="B96" s="13">
        <f>IF($A96="","",EDATE($B$7,76))</f>
        <v/>
      </c>
      <c r="C96" s="14">
        <f>IF($A96="","",MIN($D$4,F95+D96))</f>
        <v/>
      </c>
      <c r="D96" s="14">
        <f>IF($A96="","",F95*$B$6/12)</f>
        <v/>
      </c>
      <c r="E96" s="14">
        <f>IF($A96="","",C96-D96)</f>
        <v/>
      </c>
      <c r="F96" s="14">
        <f>IF($A96="","",F95-E96)</f>
        <v/>
      </c>
    </row>
    <row r="97">
      <c r="A97" s="12">
        <f>IF(77&gt;$B$5*12,"",77)</f>
        <v/>
      </c>
      <c r="B97" s="13">
        <f>IF($A97="","",EDATE($B$7,77))</f>
        <v/>
      </c>
      <c r="C97" s="14">
        <f>IF($A97="","",MIN($D$4,F96+D97))</f>
        <v/>
      </c>
      <c r="D97" s="14">
        <f>IF($A97="","",F96*$B$6/12)</f>
        <v/>
      </c>
      <c r="E97" s="14">
        <f>IF($A97="","",C97-D97)</f>
        <v/>
      </c>
      <c r="F97" s="14">
        <f>IF($A97="","",F96-E97)</f>
        <v/>
      </c>
    </row>
    <row r="98">
      <c r="A98" s="12">
        <f>IF(78&gt;$B$5*12,"",78)</f>
        <v/>
      </c>
      <c r="B98" s="13">
        <f>IF($A98="","",EDATE($B$7,78))</f>
        <v/>
      </c>
      <c r="C98" s="14">
        <f>IF($A98="","",MIN($D$4,F97+D98))</f>
        <v/>
      </c>
      <c r="D98" s="14">
        <f>IF($A98="","",F97*$B$6/12)</f>
        <v/>
      </c>
      <c r="E98" s="14">
        <f>IF($A98="","",C98-D98)</f>
        <v/>
      </c>
      <c r="F98" s="14">
        <f>IF($A98="","",F97-E98)</f>
        <v/>
      </c>
    </row>
    <row r="99">
      <c r="A99" s="12">
        <f>IF(79&gt;$B$5*12,"",79)</f>
        <v/>
      </c>
      <c r="B99" s="13">
        <f>IF($A99="","",EDATE($B$7,79))</f>
        <v/>
      </c>
      <c r="C99" s="14">
        <f>IF($A99="","",MIN($D$4,F98+D99))</f>
        <v/>
      </c>
      <c r="D99" s="14">
        <f>IF($A99="","",F98*$B$6/12)</f>
        <v/>
      </c>
      <c r="E99" s="14">
        <f>IF($A99="","",C99-D99)</f>
        <v/>
      </c>
      <c r="F99" s="14">
        <f>IF($A99="","",F98-E99)</f>
        <v/>
      </c>
    </row>
    <row r="100">
      <c r="A100" s="12">
        <f>IF(80&gt;$B$5*12,"",80)</f>
        <v/>
      </c>
      <c r="B100" s="13">
        <f>IF($A100="","",EDATE($B$7,80))</f>
        <v/>
      </c>
      <c r="C100" s="14">
        <f>IF($A100="","",MIN($D$4,F99+D100))</f>
        <v/>
      </c>
      <c r="D100" s="14">
        <f>IF($A100="","",F99*$B$6/12)</f>
        <v/>
      </c>
      <c r="E100" s="14">
        <f>IF($A100="","",C100-D100)</f>
        <v/>
      </c>
      <c r="F100" s="14">
        <f>IF($A100="","",F99-E100)</f>
        <v/>
      </c>
    </row>
    <row r="101">
      <c r="A101" s="12">
        <f>IF(81&gt;$B$5*12,"",81)</f>
        <v/>
      </c>
      <c r="B101" s="13">
        <f>IF($A101="","",EDATE($B$7,81))</f>
        <v/>
      </c>
      <c r="C101" s="14">
        <f>IF($A101="","",MIN($D$4,F100+D101))</f>
        <v/>
      </c>
      <c r="D101" s="14">
        <f>IF($A101="","",F100*$B$6/12)</f>
        <v/>
      </c>
      <c r="E101" s="14">
        <f>IF($A101="","",C101-D101)</f>
        <v/>
      </c>
      <c r="F101" s="14">
        <f>IF($A101="","",F100-E101)</f>
        <v/>
      </c>
    </row>
    <row r="102">
      <c r="A102" s="12">
        <f>IF(82&gt;$B$5*12,"",82)</f>
        <v/>
      </c>
      <c r="B102" s="13">
        <f>IF($A102="","",EDATE($B$7,82))</f>
        <v/>
      </c>
      <c r="C102" s="14">
        <f>IF($A102="","",MIN($D$4,F101+D102))</f>
        <v/>
      </c>
      <c r="D102" s="14">
        <f>IF($A102="","",F101*$B$6/12)</f>
        <v/>
      </c>
      <c r="E102" s="14">
        <f>IF($A102="","",C102-D102)</f>
        <v/>
      </c>
      <c r="F102" s="14">
        <f>IF($A102="","",F101-E102)</f>
        <v/>
      </c>
    </row>
    <row r="103">
      <c r="A103" s="12">
        <f>IF(83&gt;$B$5*12,"",83)</f>
        <v/>
      </c>
      <c r="B103" s="13">
        <f>IF($A103="","",EDATE($B$7,83))</f>
        <v/>
      </c>
      <c r="C103" s="14">
        <f>IF($A103="","",MIN($D$4,F102+D103))</f>
        <v/>
      </c>
      <c r="D103" s="14">
        <f>IF($A103="","",F102*$B$6/12)</f>
        <v/>
      </c>
      <c r="E103" s="14">
        <f>IF($A103="","",C103-D103)</f>
        <v/>
      </c>
      <c r="F103" s="14">
        <f>IF($A103="","",F102-E103)</f>
        <v/>
      </c>
    </row>
    <row r="104">
      <c r="A104" s="12">
        <f>IF(84&gt;$B$5*12,"",84)</f>
        <v/>
      </c>
      <c r="B104" s="13">
        <f>IF($A104="","",EDATE($B$7,84))</f>
        <v/>
      </c>
      <c r="C104" s="14">
        <f>IF($A104="","",MIN($D$4,F103+D104))</f>
        <v/>
      </c>
      <c r="D104" s="14">
        <f>IF($A104="","",F103*$B$6/12)</f>
        <v/>
      </c>
      <c r="E104" s="14">
        <f>IF($A104="","",C104-D104)</f>
        <v/>
      </c>
      <c r="F104" s="14">
        <f>IF($A104="","",F103-E104)</f>
        <v/>
      </c>
    </row>
    <row r="105">
      <c r="A105" s="12">
        <f>IF(85&gt;$B$5*12,"",85)</f>
        <v/>
      </c>
      <c r="B105" s="13">
        <f>IF($A105="","",EDATE($B$7,85))</f>
        <v/>
      </c>
      <c r="C105" s="14">
        <f>IF($A105="","",MIN($D$4,F104+D105))</f>
        <v/>
      </c>
      <c r="D105" s="14">
        <f>IF($A105="","",F104*$B$6/12)</f>
        <v/>
      </c>
      <c r="E105" s="14">
        <f>IF($A105="","",C105-D105)</f>
        <v/>
      </c>
      <c r="F105" s="14">
        <f>IF($A105="","",F104-E105)</f>
        <v/>
      </c>
    </row>
    <row r="106">
      <c r="A106" s="12">
        <f>IF(86&gt;$B$5*12,"",86)</f>
        <v/>
      </c>
      <c r="B106" s="13">
        <f>IF($A106="","",EDATE($B$7,86))</f>
        <v/>
      </c>
      <c r="C106" s="14">
        <f>IF($A106="","",MIN($D$4,F105+D106))</f>
        <v/>
      </c>
      <c r="D106" s="14">
        <f>IF($A106="","",F105*$B$6/12)</f>
        <v/>
      </c>
      <c r="E106" s="14">
        <f>IF($A106="","",C106-D106)</f>
        <v/>
      </c>
      <c r="F106" s="14">
        <f>IF($A106="","",F105-E106)</f>
        <v/>
      </c>
    </row>
    <row r="107">
      <c r="A107" s="12">
        <f>IF(87&gt;$B$5*12,"",87)</f>
        <v/>
      </c>
      <c r="B107" s="13">
        <f>IF($A107="","",EDATE($B$7,87))</f>
        <v/>
      </c>
      <c r="C107" s="14">
        <f>IF($A107="","",MIN($D$4,F106+D107))</f>
        <v/>
      </c>
      <c r="D107" s="14">
        <f>IF($A107="","",F106*$B$6/12)</f>
        <v/>
      </c>
      <c r="E107" s="14">
        <f>IF($A107="","",C107-D107)</f>
        <v/>
      </c>
      <c r="F107" s="14">
        <f>IF($A107="","",F106-E107)</f>
        <v/>
      </c>
    </row>
    <row r="108">
      <c r="A108" s="12">
        <f>IF(88&gt;$B$5*12,"",88)</f>
        <v/>
      </c>
      <c r="B108" s="13">
        <f>IF($A108="","",EDATE($B$7,88))</f>
        <v/>
      </c>
      <c r="C108" s="14">
        <f>IF($A108="","",MIN($D$4,F107+D108))</f>
        <v/>
      </c>
      <c r="D108" s="14">
        <f>IF($A108="","",F107*$B$6/12)</f>
        <v/>
      </c>
      <c r="E108" s="14">
        <f>IF($A108="","",C108-D108)</f>
        <v/>
      </c>
      <c r="F108" s="14">
        <f>IF($A108="","",F107-E108)</f>
        <v/>
      </c>
    </row>
    <row r="109">
      <c r="A109" s="12">
        <f>IF(89&gt;$B$5*12,"",89)</f>
        <v/>
      </c>
      <c r="B109" s="13">
        <f>IF($A109="","",EDATE($B$7,89))</f>
        <v/>
      </c>
      <c r="C109" s="14">
        <f>IF($A109="","",MIN($D$4,F108+D109))</f>
        <v/>
      </c>
      <c r="D109" s="14">
        <f>IF($A109="","",F108*$B$6/12)</f>
        <v/>
      </c>
      <c r="E109" s="14">
        <f>IF($A109="","",C109-D109)</f>
        <v/>
      </c>
      <c r="F109" s="14">
        <f>IF($A109="","",F108-E109)</f>
        <v/>
      </c>
    </row>
    <row r="110">
      <c r="A110" s="12">
        <f>IF(90&gt;$B$5*12,"",90)</f>
        <v/>
      </c>
      <c r="B110" s="13">
        <f>IF($A110="","",EDATE($B$7,90))</f>
        <v/>
      </c>
      <c r="C110" s="14">
        <f>IF($A110="","",MIN($D$4,F109+D110))</f>
        <v/>
      </c>
      <c r="D110" s="14">
        <f>IF($A110="","",F109*$B$6/12)</f>
        <v/>
      </c>
      <c r="E110" s="14">
        <f>IF($A110="","",C110-D110)</f>
        <v/>
      </c>
      <c r="F110" s="14">
        <f>IF($A110="","",F109-E110)</f>
        <v/>
      </c>
    </row>
    <row r="111">
      <c r="A111" s="12">
        <f>IF(91&gt;$B$5*12,"",91)</f>
        <v/>
      </c>
      <c r="B111" s="13">
        <f>IF($A111="","",EDATE($B$7,91))</f>
        <v/>
      </c>
      <c r="C111" s="14">
        <f>IF($A111="","",MIN($D$4,F110+D111))</f>
        <v/>
      </c>
      <c r="D111" s="14">
        <f>IF($A111="","",F110*$B$6/12)</f>
        <v/>
      </c>
      <c r="E111" s="14">
        <f>IF($A111="","",C111-D111)</f>
        <v/>
      </c>
      <c r="F111" s="14">
        <f>IF($A111="","",F110-E111)</f>
        <v/>
      </c>
    </row>
    <row r="112">
      <c r="A112" s="12">
        <f>IF(92&gt;$B$5*12,"",92)</f>
        <v/>
      </c>
      <c r="B112" s="13">
        <f>IF($A112="","",EDATE($B$7,92))</f>
        <v/>
      </c>
      <c r="C112" s="14">
        <f>IF($A112="","",MIN($D$4,F111+D112))</f>
        <v/>
      </c>
      <c r="D112" s="14">
        <f>IF($A112="","",F111*$B$6/12)</f>
        <v/>
      </c>
      <c r="E112" s="14">
        <f>IF($A112="","",C112-D112)</f>
        <v/>
      </c>
      <c r="F112" s="14">
        <f>IF($A112="","",F111-E112)</f>
        <v/>
      </c>
    </row>
    <row r="113">
      <c r="A113" s="12">
        <f>IF(93&gt;$B$5*12,"",93)</f>
        <v/>
      </c>
      <c r="B113" s="13">
        <f>IF($A113="","",EDATE($B$7,93))</f>
        <v/>
      </c>
      <c r="C113" s="14">
        <f>IF($A113="","",MIN($D$4,F112+D113))</f>
        <v/>
      </c>
      <c r="D113" s="14">
        <f>IF($A113="","",F112*$B$6/12)</f>
        <v/>
      </c>
      <c r="E113" s="14">
        <f>IF($A113="","",C113-D113)</f>
        <v/>
      </c>
      <c r="F113" s="14">
        <f>IF($A113="","",F112-E113)</f>
        <v/>
      </c>
    </row>
    <row r="114">
      <c r="A114" s="12">
        <f>IF(94&gt;$B$5*12,"",94)</f>
        <v/>
      </c>
      <c r="B114" s="13">
        <f>IF($A114="","",EDATE($B$7,94))</f>
        <v/>
      </c>
      <c r="C114" s="14">
        <f>IF($A114="","",MIN($D$4,F113+D114))</f>
        <v/>
      </c>
      <c r="D114" s="14">
        <f>IF($A114="","",F113*$B$6/12)</f>
        <v/>
      </c>
      <c r="E114" s="14">
        <f>IF($A114="","",C114-D114)</f>
        <v/>
      </c>
      <c r="F114" s="14">
        <f>IF($A114="","",F113-E114)</f>
        <v/>
      </c>
    </row>
    <row r="115">
      <c r="A115" s="12">
        <f>IF(95&gt;$B$5*12,"",95)</f>
        <v/>
      </c>
      <c r="B115" s="13">
        <f>IF($A115="","",EDATE($B$7,95))</f>
        <v/>
      </c>
      <c r="C115" s="14">
        <f>IF($A115="","",MIN($D$4,F114+D115))</f>
        <v/>
      </c>
      <c r="D115" s="14">
        <f>IF($A115="","",F114*$B$6/12)</f>
        <v/>
      </c>
      <c r="E115" s="14">
        <f>IF($A115="","",C115-D115)</f>
        <v/>
      </c>
      <c r="F115" s="14">
        <f>IF($A115="","",F114-E115)</f>
        <v/>
      </c>
    </row>
    <row r="116">
      <c r="A116" s="12">
        <f>IF(96&gt;$B$5*12,"",96)</f>
        <v/>
      </c>
      <c r="B116" s="13">
        <f>IF($A116="","",EDATE($B$7,96))</f>
        <v/>
      </c>
      <c r="C116" s="14">
        <f>IF($A116="","",MIN($D$4,F115+D116))</f>
        <v/>
      </c>
      <c r="D116" s="14">
        <f>IF($A116="","",F115*$B$6/12)</f>
        <v/>
      </c>
      <c r="E116" s="14">
        <f>IF($A116="","",C116-D116)</f>
        <v/>
      </c>
      <c r="F116" s="14">
        <f>IF($A116="","",F115-E116)</f>
        <v/>
      </c>
    </row>
    <row r="117">
      <c r="A117" s="12">
        <f>IF(97&gt;$B$5*12,"",97)</f>
        <v/>
      </c>
      <c r="B117" s="13">
        <f>IF($A117="","",EDATE($B$7,97))</f>
        <v/>
      </c>
      <c r="C117" s="14">
        <f>IF($A117="","",MIN($D$4,F116+D117))</f>
        <v/>
      </c>
      <c r="D117" s="14">
        <f>IF($A117="","",F116*$B$6/12)</f>
        <v/>
      </c>
      <c r="E117" s="14">
        <f>IF($A117="","",C117-D117)</f>
        <v/>
      </c>
      <c r="F117" s="14">
        <f>IF($A117="","",F116-E117)</f>
        <v/>
      </c>
    </row>
    <row r="118">
      <c r="A118" s="12">
        <f>IF(98&gt;$B$5*12,"",98)</f>
        <v/>
      </c>
      <c r="B118" s="13">
        <f>IF($A118="","",EDATE($B$7,98))</f>
        <v/>
      </c>
      <c r="C118" s="14">
        <f>IF($A118="","",MIN($D$4,F117+D118))</f>
        <v/>
      </c>
      <c r="D118" s="14">
        <f>IF($A118="","",F117*$B$6/12)</f>
        <v/>
      </c>
      <c r="E118" s="14">
        <f>IF($A118="","",C118-D118)</f>
        <v/>
      </c>
      <c r="F118" s="14">
        <f>IF($A118="","",F117-E118)</f>
        <v/>
      </c>
    </row>
    <row r="119">
      <c r="A119" s="12">
        <f>IF(99&gt;$B$5*12,"",99)</f>
        <v/>
      </c>
      <c r="B119" s="13">
        <f>IF($A119="","",EDATE($B$7,99))</f>
        <v/>
      </c>
      <c r="C119" s="14">
        <f>IF($A119="","",MIN($D$4,F118+D119))</f>
        <v/>
      </c>
      <c r="D119" s="14">
        <f>IF($A119="","",F118*$B$6/12)</f>
        <v/>
      </c>
      <c r="E119" s="14">
        <f>IF($A119="","",C119-D119)</f>
        <v/>
      </c>
      <c r="F119" s="14">
        <f>IF($A119="","",F118-E119)</f>
        <v/>
      </c>
    </row>
    <row r="120">
      <c r="A120" s="12">
        <f>IF(100&gt;$B$5*12,"",100)</f>
        <v/>
      </c>
      <c r="B120" s="13">
        <f>IF($A120="","",EDATE($B$7,100))</f>
        <v/>
      </c>
      <c r="C120" s="14">
        <f>IF($A120="","",MIN($D$4,F119+D120))</f>
        <v/>
      </c>
      <c r="D120" s="14">
        <f>IF($A120="","",F119*$B$6/12)</f>
        <v/>
      </c>
      <c r="E120" s="14">
        <f>IF($A120="","",C120-D120)</f>
        <v/>
      </c>
      <c r="F120" s="14">
        <f>IF($A120="","",F119-E120)</f>
        <v/>
      </c>
    </row>
    <row r="121">
      <c r="A121" s="12">
        <f>IF(101&gt;$B$5*12,"",101)</f>
        <v/>
      </c>
      <c r="B121" s="13">
        <f>IF($A121="","",EDATE($B$7,101))</f>
        <v/>
      </c>
      <c r="C121" s="14">
        <f>IF($A121="","",MIN($D$4,F120+D121))</f>
        <v/>
      </c>
      <c r="D121" s="14">
        <f>IF($A121="","",F120*$B$6/12)</f>
        <v/>
      </c>
      <c r="E121" s="14">
        <f>IF($A121="","",C121-D121)</f>
        <v/>
      </c>
      <c r="F121" s="14">
        <f>IF($A121="","",F120-E121)</f>
        <v/>
      </c>
    </row>
    <row r="122">
      <c r="A122" s="12">
        <f>IF(102&gt;$B$5*12,"",102)</f>
        <v/>
      </c>
      <c r="B122" s="13">
        <f>IF($A122="","",EDATE($B$7,102))</f>
        <v/>
      </c>
      <c r="C122" s="14">
        <f>IF($A122="","",MIN($D$4,F121+D122))</f>
        <v/>
      </c>
      <c r="D122" s="14">
        <f>IF($A122="","",F121*$B$6/12)</f>
        <v/>
      </c>
      <c r="E122" s="14">
        <f>IF($A122="","",C122-D122)</f>
        <v/>
      </c>
      <c r="F122" s="14">
        <f>IF($A122="","",F121-E122)</f>
        <v/>
      </c>
    </row>
    <row r="123">
      <c r="A123" s="12">
        <f>IF(103&gt;$B$5*12,"",103)</f>
        <v/>
      </c>
      <c r="B123" s="13">
        <f>IF($A123="","",EDATE($B$7,103))</f>
        <v/>
      </c>
      <c r="C123" s="14">
        <f>IF($A123="","",MIN($D$4,F122+D123))</f>
        <v/>
      </c>
      <c r="D123" s="14">
        <f>IF($A123="","",F122*$B$6/12)</f>
        <v/>
      </c>
      <c r="E123" s="14">
        <f>IF($A123="","",C123-D123)</f>
        <v/>
      </c>
      <c r="F123" s="14">
        <f>IF($A123="","",F122-E123)</f>
        <v/>
      </c>
    </row>
    <row r="124">
      <c r="A124" s="12">
        <f>IF(104&gt;$B$5*12,"",104)</f>
        <v/>
      </c>
      <c r="B124" s="13">
        <f>IF($A124="","",EDATE($B$7,104))</f>
        <v/>
      </c>
      <c r="C124" s="14">
        <f>IF($A124="","",MIN($D$4,F123+D124))</f>
        <v/>
      </c>
      <c r="D124" s="14">
        <f>IF($A124="","",F123*$B$6/12)</f>
        <v/>
      </c>
      <c r="E124" s="14">
        <f>IF($A124="","",C124-D124)</f>
        <v/>
      </c>
      <c r="F124" s="14">
        <f>IF($A124="","",F123-E124)</f>
        <v/>
      </c>
    </row>
    <row r="125">
      <c r="A125" s="12">
        <f>IF(105&gt;$B$5*12,"",105)</f>
        <v/>
      </c>
      <c r="B125" s="13">
        <f>IF($A125="","",EDATE($B$7,105))</f>
        <v/>
      </c>
      <c r="C125" s="14">
        <f>IF($A125="","",MIN($D$4,F124+D125))</f>
        <v/>
      </c>
      <c r="D125" s="14">
        <f>IF($A125="","",F124*$B$6/12)</f>
        <v/>
      </c>
      <c r="E125" s="14">
        <f>IF($A125="","",C125-D125)</f>
        <v/>
      </c>
      <c r="F125" s="14">
        <f>IF($A125="","",F124-E125)</f>
        <v/>
      </c>
    </row>
    <row r="126">
      <c r="A126" s="12">
        <f>IF(106&gt;$B$5*12,"",106)</f>
        <v/>
      </c>
      <c r="B126" s="13">
        <f>IF($A126="","",EDATE($B$7,106))</f>
        <v/>
      </c>
      <c r="C126" s="14">
        <f>IF($A126="","",MIN($D$4,F125+D126))</f>
        <v/>
      </c>
      <c r="D126" s="14">
        <f>IF($A126="","",F125*$B$6/12)</f>
        <v/>
      </c>
      <c r="E126" s="14">
        <f>IF($A126="","",C126-D126)</f>
        <v/>
      </c>
      <c r="F126" s="14">
        <f>IF($A126="","",F125-E126)</f>
        <v/>
      </c>
    </row>
    <row r="127">
      <c r="A127" s="12">
        <f>IF(107&gt;$B$5*12,"",107)</f>
        <v/>
      </c>
      <c r="B127" s="13">
        <f>IF($A127="","",EDATE($B$7,107))</f>
        <v/>
      </c>
      <c r="C127" s="14">
        <f>IF($A127="","",MIN($D$4,F126+D127))</f>
        <v/>
      </c>
      <c r="D127" s="14">
        <f>IF($A127="","",F126*$B$6/12)</f>
        <v/>
      </c>
      <c r="E127" s="14">
        <f>IF($A127="","",C127-D127)</f>
        <v/>
      </c>
      <c r="F127" s="14">
        <f>IF($A127="","",F126-E127)</f>
        <v/>
      </c>
    </row>
    <row r="128">
      <c r="A128" s="12">
        <f>IF(108&gt;$B$5*12,"",108)</f>
        <v/>
      </c>
      <c r="B128" s="13">
        <f>IF($A128="","",EDATE($B$7,108))</f>
        <v/>
      </c>
      <c r="C128" s="14">
        <f>IF($A128="","",MIN($D$4,F127+D128))</f>
        <v/>
      </c>
      <c r="D128" s="14">
        <f>IF($A128="","",F127*$B$6/12)</f>
        <v/>
      </c>
      <c r="E128" s="14">
        <f>IF($A128="","",C128-D128)</f>
        <v/>
      </c>
      <c r="F128" s="14">
        <f>IF($A128="","",F127-E128)</f>
        <v/>
      </c>
    </row>
    <row r="129">
      <c r="A129" s="12">
        <f>IF(109&gt;$B$5*12,"",109)</f>
        <v/>
      </c>
      <c r="B129" s="13">
        <f>IF($A129="","",EDATE($B$7,109))</f>
        <v/>
      </c>
      <c r="C129" s="14">
        <f>IF($A129="","",MIN($D$4,F128+D129))</f>
        <v/>
      </c>
      <c r="D129" s="14">
        <f>IF($A129="","",F128*$B$6/12)</f>
        <v/>
      </c>
      <c r="E129" s="14">
        <f>IF($A129="","",C129-D129)</f>
        <v/>
      </c>
      <c r="F129" s="14">
        <f>IF($A129="","",F128-E129)</f>
        <v/>
      </c>
    </row>
    <row r="130">
      <c r="A130" s="12">
        <f>IF(110&gt;$B$5*12,"",110)</f>
        <v/>
      </c>
      <c r="B130" s="13">
        <f>IF($A130="","",EDATE($B$7,110))</f>
        <v/>
      </c>
      <c r="C130" s="14">
        <f>IF($A130="","",MIN($D$4,F129+D130))</f>
        <v/>
      </c>
      <c r="D130" s="14">
        <f>IF($A130="","",F129*$B$6/12)</f>
        <v/>
      </c>
      <c r="E130" s="14">
        <f>IF($A130="","",C130-D130)</f>
        <v/>
      </c>
      <c r="F130" s="14">
        <f>IF($A130="","",F129-E130)</f>
        <v/>
      </c>
    </row>
    <row r="131">
      <c r="A131" s="12">
        <f>IF(111&gt;$B$5*12,"",111)</f>
        <v/>
      </c>
      <c r="B131" s="13">
        <f>IF($A131="","",EDATE($B$7,111))</f>
        <v/>
      </c>
      <c r="C131" s="14">
        <f>IF($A131="","",MIN($D$4,F130+D131))</f>
        <v/>
      </c>
      <c r="D131" s="14">
        <f>IF($A131="","",F130*$B$6/12)</f>
        <v/>
      </c>
      <c r="E131" s="14">
        <f>IF($A131="","",C131-D131)</f>
        <v/>
      </c>
      <c r="F131" s="14">
        <f>IF($A131="","",F130-E131)</f>
        <v/>
      </c>
    </row>
    <row r="132">
      <c r="A132" s="12">
        <f>IF(112&gt;$B$5*12,"",112)</f>
        <v/>
      </c>
      <c r="B132" s="13">
        <f>IF($A132="","",EDATE($B$7,112))</f>
        <v/>
      </c>
      <c r="C132" s="14">
        <f>IF($A132="","",MIN($D$4,F131+D132))</f>
        <v/>
      </c>
      <c r="D132" s="14">
        <f>IF($A132="","",F131*$B$6/12)</f>
        <v/>
      </c>
      <c r="E132" s="14">
        <f>IF($A132="","",C132-D132)</f>
        <v/>
      </c>
      <c r="F132" s="14">
        <f>IF($A132="","",F131-E132)</f>
        <v/>
      </c>
    </row>
    <row r="133">
      <c r="A133" s="12">
        <f>IF(113&gt;$B$5*12,"",113)</f>
        <v/>
      </c>
      <c r="B133" s="13">
        <f>IF($A133="","",EDATE($B$7,113))</f>
        <v/>
      </c>
      <c r="C133" s="14">
        <f>IF($A133="","",MIN($D$4,F132+D133))</f>
        <v/>
      </c>
      <c r="D133" s="14">
        <f>IF($A133="","",F132*$B$6/12)</f>
        <v/>
      </c>
      <c r="E133" s="14">
        <f>IF($A133="","",C133-D133)</f>
        <v/>
      </c>
      <c r="F133" s="14">
        <f>IF($A133="","",F132-E133)</f>
        <v/>
      </c>
    </row>
    <row r="134">
      <c r="A134" s="12">
        <f>IF(114&gt;$B$5*12,"",114)</f>
        <v/>
      </c>
      <c r="B134" s="13">
        <f>IF($A134="","",EDATE($B$7,114))</f>
        <v/>
      </c>
      <c r="C134" s="14">
        <f>IF($A134="","",MIN($D$4,F133+D134))</f>
        <v/>
      </c>
      <c r="D134" s="14">
        <f>IF($A134="","",F133*$B$6/12)</f>
        <v/>
      </c>
      <c r="E134" s="14">
        <f>IF($A134="","",C134-D134)</f>
        <v/>
      </c>
      <c r="F134" s="14">
        <f>IF($A134="","",F133-E134)</f>
        <v/>
      </c>
    </row>
    <row r="135">
      <c r="A135" s="12">
        <f>IF(115&gt;$B$5*12,"",115)</f>
        <v/>
      </c>
      <c r="B135" s="13">
        <f>IF($A135="","",EDATE($B$7,115))</f>
        <v/>
      </c>
      <c r="C135" s="14">
        <f>IF($A135="","",MIN($D$4,F134+D135))</f>
        <v/>
      </c>
      <c r="D135" s="14">
        <f>IF($A135="","",F134*$B$6/12)</f>
        <v/>
      </c>
      <c r="E135" s="14">
        <f>IF($A135="","",C135-D135)</f>
        <v/>
      </c>
      <c r="F135" s="14">
        <f>IF($A135="","",F134-E135)</f>
        <v/>
      </c>
    </row>
    <row r="136">
      <c r="A136" s="12">
        <f>IF(116&gt;$B$5*12,"",116)</f>
        <v/>
      </c>
      <c r="B136" s="13">
        <f>IF($A136="","",EDATE($B$7,116))</f>
        <v/>
      </c>
      <c r="C136" s="14">
        <f>IF($A136="","",MIN($D$4,F135+D136))</f>
        <v/>
      </c>
      <c r="D136" s="14">
        <f>IF($A136="","",F135*$B$6/12)</f>
        <v/>
      </c>
      <c r="E136" s="14">
        <f>IF($A136="","",C136-D136)</f>
        <v/>
      </c>
      <c r="F136" s="14">
        <f>IF($A136="","",F135-E136)</f>
        <v/>
      </c>
    </row>
    <row r="137">
      <c r="A137" s="12">
        <f>IF(117&gt;$B$5*12,"",117)</f>
        <v/>
      </c>
      <c r="B137" s="13">
        <f>IF($A137="","",EDATE($B$7,117))</f>
        <v/>
      </c>
      <c r="C137" s="14">
        <f>IF($A137="","",MIN($D$4,F136+D137))</f>
        <v/>
      </c>
      <c r="D137" s="14">
        <f>IF($A137="","",F136*$B$6/12)</f>
        <v/>
      </c>
      <c r="E137" s="14">
        <f>IF($A137="","",C137-D137)</f>
        <v/>
      </c>
      <c r="F137" s="14">
        <f>IF($A137="","",F136-E137)</f>
        <v/>
      </c>
    </row>
    <row r="138">
      <c r="A138" s="12">
        <f>IF(118&gt;$B$5*12,"",118)</f>
        <v/>
      </c>
      <c r="B138" s="13">
        <f>IF($A138="","",EDATE($B$7,118))</f>
        <v/>
      </c>
      <c r="C138" s="14">
        <f>IF($A138="","",MIN($D$4,F137+D138))</f>
        <v/>
      </c>
      <c r="D138" s="14">
        <f>IF($A138="","",F137*$B$6/12)</f>
        <v/>
      </c>
      <c r="E138" s="14">
        <f>IF($A138="","",C138-D138)</f>
        <v/>
      </c>
      <c r="F138" s="14">
        <f>IF($A138="","",F137-E138)</f>
        <v/>
      </c>
    </row>
    <row r="139">
      <c r="A139" s="12">
        <f>IF(119&gt;$B$5*12,"",119)</f>
        <v/>
      </c>
      <c r="B139" s="13">
        <f>IF($A139="","",EDATE($B$7,119))</f>
        <v/>
      </c>
      <c r="C139" s="14">
        <f>IF($A139="","",MIN($D$4,F138+D139))</f>
        <v/>
      </c>
      <c r="D139" s="14">
        <f>IF($A139="","",F138*$B$6/12)</f>
        <v/>
      </c>
      <c r="E139" s="14">
        <f>IF($A139="","",C139-D139)</f>
        <v/>
      </c>
      <c r="F139" s="14">
        <f>IF($A139="","",F138-E139)</f>
        <v/>
      </c>
    </row>
    <row r="140">
      <c r="A140" s="12">
        <f>IF(120&gt;$B$5*12,"",120)</f>
        <v/>
      </c>
      <c r="B140" s="13">
        <f>IF($A140="","",EDATE($B$7,120))</f>
        <v/>
      </c>
      <c r="C140" s="14">
        <f>IF($A140="","",MIN($D$4,F139+D140))</f>
        <v/>
      </c>
      <c r="D140" s="14">
        <f>IF($A140="","",F139*$B$6/12)</f>
        <v/>
      </c>
      <c r="E140" s="14">
        <f>IF($A140="","",C140-D140)</f>
        <v/>
      </c>
      <c r="F140" s="14">
        <f>IF($A140="","",F139-E140)</f>
        <v/>
      </c>
    </row>
    <row r="141">
      <c r="A141" s="12">
        <f>IF(121&gt;$B$5*12,"",121)</f>
        <v/>
      </c>
      <c r="B141" s="13">
        <f>IF($A141="","",EDATE($B$7,121))</f>
        <v/>
      </c>
      <c r="C141" s="14">
        <f>IF($A141="","",MIN($D$4,F140+D141))</f>
        <v/>
      </c>
      <c r="D141" s="14">
        <f>IF($A141="","",F140*$B$6/12)</f>
        <v/>
      </c>
      <c r="E141" s="14">
        <f>IF($A141="","",C141-D141)</f>
        <v/>
      </c>
      <c r="F141" s="14">
        <f>IF($A141="","",F140-E141)</f>
        <v/>
      </c>
    </row>
    <row r="142">
      <c r="A142" s="12">
        <f>IF(122&gt;$B$5*12,"",122)</f>
        <v/>
      </c>
      <c r="B142" s="13">
        <f>IF($A142="","",EDATE($B$7,122))</f>
        <v/>
      </c>
      <c r="C142" s="14">
        <f>IF($A142="","",MIN($D$4,F141+D142))</f>
        <v/>
      </c>
      <c r="D142" s="14">
        <f>IF($A142="","",F141*$B$6/12)</f>
        <v/>
      </c>
      <c r="E142" s="14">
        <f>IF($A142="","",C142-D142)</f>
        <v/>
      </c>
      <c r="F142" s="14">
        <f>IF($A142="","",F141-E142)</f>
        <v/>
      </c>
    </row>
    <row r="143">
      <c r="A143" s="12">
        <f>IF(123&gt;$B$5*12,"",123)</f>
        <v/>
      </c>
      <c r="B143" s="13">
        <f>IF($A143="","",EDATE($B$7,123))</f>
        <v/>
      </c>
      <c r="C143" s="14">
        <f>IF($A143="","",MIN($D$4,F142+D143))</f>
        <v/>
      </c>
      <c r="D143" s="14">
        <f>IF($A143="","",F142*$B$6/12)</f>
        <v/>
      </c>
      <c r="E143" s="14">
        <f>IF($A143="","",C143-D143)</f>
        <v/>
      </c>
      <c r="F143" s="14">
        <f>IF($A143="","",F142-E143)</f>
        <v/>
      </c>
    </row>
    <row r="144">
      <c r="A144" s="12">
        <f>IF(124&gt;$B$5*12,"",124)</f>
        <v/>
      </c>
      <c r="B144" s="13">
        <f>IF($A144="","",EDATE($B$7,124))</f>
        <v/>
      </c>
      <c r="C144" s="14">
        <f>IF($A144="","",MIN($D$4,F143+D144))</f>
        <v/>
      </c>
      <c r="D144" s="14">
        <f>IF($A144="","",F143*$B$6/12)</f>
        <v/>
      </c>
      <c r="E144" s="14">
        <f>IF($A144="","",C144-D144)</f>
        <v/>
      </c>
      <c r="F144" s="14">
        <f>IF($A144="","",F143-E144)</f>
        <v/>
      </c>
    </row>
    <row r="145">
      <c r="A145" s="12">
        <f>IF(125&gt;$B$5*12,"",125)</f>
        <v/>
      </c>
      <c r="B145" s="13">
        <f>IF($A145="","",EDATE($B$7,125))</f>
        <v/>
      </c>
      <c r="C145" s="14">
        <f>IF($A145="","",MIN($D$4,F144+D145))</f>
        <v/>
      </c>
      <c r="D145" s="14">
        <f>IF($A145="","",F144*$B$6/12)</f>
        <v/>
      </c>
      <c r="E145" s="14">
        <f>IF($A145="","",C145-D145)</f>
        <v/>
      </c>
      <c r="F145" s="14">
        <f>IF($A145="","",F144-E145)</f>
        <v/>
      </c>
    </row>
    <row r="146">
      <c r="A146" s="12">
        <f>IF(126&gt;$B$5*12,"",126)</f>
        <v/>
      </c>
      <c r="B146" s="13">
        <f>IF($A146="","",EDATE($B$7,126))</f>
        <v/>
      </c>
      <c r="C146" s="14">
        <f>IF($A146="","",MIN($D$4,F145+D146))</f>
        <v/>
      </c>
      <c r="D146" s="14">
        <f>IF($A146="","",F145*$B$6/12)</f>
        <v/>
      </c>
      <c r="E146" s="14">
        <f>IF($A146="","",C146-D146)</f>
        <v/>
      </c>
      <c r="F146" s="14">
        <f>IF($A146="","",F145-E146)</f>
        <v/>
      </c>
    </row>
    <row r="147">
      <c r="A147" s="12">
        <f>IF(127&gt;$B$5*12,"",127)</f>
        <v/>
      </c>
      <c r="B147" s="13">
        <f>IF($A147="","",EDATE($B$7,127))</f>
        <v/>
      </c>
      <c r="C147" s="14">
        <f>IF($A147="","",MIN($D$4,F146+D147))</f>
        <v/>
      </c>
      <c r="D147" s="14">
        <f>IF($A147="","",F146*$B$6/12)</f>
        <v/>
      </c>
      <c r="E147" s="14">
        <f>IF($A147="","",C147-D147)</f>
        <v/>
      </c>
      <c r="F147" s="14">
        <f>IF($A147="","",F146-E147)</f>
        <v/>
      </c>
    </row>
    <row r="148">
      <c r="A148" s="12">
        <f>IF(128&gt;$B$5*12,"",128)</f>
        <v/>
      </c>
      <c r="B148" s="13">
        <f>IF($A148="","",EDATE($B$7,128))</f>
        <v/>
      </c>
      <c r="C148" s="14">
        <f>IF($A148="","",MIN($D$4,F147+D148))</f>
        <v/>
      </c>
      <c r="D148" s="14">
        <f>IF($A148="","",F147*$B$6/12)</f>
        <v/>
      </c>
      <c r="E148" s="14">
        <f>IF($A148="","",C148-D148)</f>
        <v/>
      </c>
      <c r="F148" s="14">
        <f>IF($A148="","",F147-E148)</f>
        <v/>
      </c>
    </row>
    <row r="149">
      <c r="A149" s="12">
        <f>IF(129&gt;$B$5*12,"",129)</f>
        <v/>
      </c>
      <c r="B149" s="13">
        <f>IF($A149="","",EDATE($B$7,129))</f>
        <v/>
      </c>
      <c r="C149" s="14">
        <f>IF($A149="","",MIN($D$4,F148+D149))</f>
        <v/>
      </c>
      <c r="D149" s="14">
        <f>IF($A149="","",F148*$B$6/12)</f>
        <v/>
      </c>
      <c r="E149" s="14">
        <f>IF($A149="","",C149-D149)</f>
        <v/>
      </c>
      <c r="F149" s="14">
        <f>IF($A149="","",F148-E149)</f>
        <v/>
      </c>
    </row>
    <row r="150">
      <c r="A150" s="12">
        <f>IF(130&gt;$B$5*12,"",130)</f>
        <v/>
      </c>
      <c r="B150" s="13">
        <f>IF($A150="","",EDATE($B$7,130))</f>
        <v/>
      </c>
      <c r="C150" s="14">
        <f>IF($A150="","",MIN($D$4,F149+D150))</f>
        <v/>
      </c>
      <c r="D150" s="14">
        <f>IF($A150="","",F149*$B$6/12)</f>
        <v/>
      </c>
      <c r="E150" s="14">
        <f>IF($A150="","",C150-D150)</f>
        <v/>
      </c>
      <c r="F150" s="14">
        <f>IF($A150="","",F149-E150)</f>
        <v/>
      </c>
    </row>
    <row r="151">
      <c r="A151" s="12">
        <f>IF(131&gt;$B$5*12,"",131)</f>
        <v/>
      </c>
      <c r="B151" s="13">
        <f>IF($A151="","",EDATE($B$7,131))</f>
        <v/>
      </c>
      <c r="C151" s="14">
        <f>IF($A151="","",MIN($D$4,F150+D151))</f>
        <v/>
      </c>
      <c r="D151" s="14">
        <f>IF($A151="","",F150*$B$6/12)</f>
        <v/>
      </c>
      <c r="E151" s="14">
        <f>IF($A151="","",C151-D151)</f>
        <v/>
      </c>
      <c r="F151" s="14">
        <f>IF($A151="","",F150-E151)</f>
        <v/>
      </c>
    </row>
    <row r="152">
      <c r="A152" s="12">
        <f>IF(132&gt;$B$5*12,"",132)</f>
        <v/>
      </c>
      <c r="B152" s="13">
        <f>IF($A152="","",EDATE($B$7,132))</f>
        <v/>
      </c>
      <c r="C152" s="14">
        <f>IF($A152="","",MIN($D$4,F151+D152))</f>
        <v/>
      </c>
      <c r="D152" s="14">
        <f>IF($A152="","",F151*$B$6/12)</f>
        <v/>
      </c>
      <c r="E152" s="14">
        <f>IF($A152="","",C152-D152)</f>
        <v/>
      </c>
      <c r="F152" s="14">
        <f>IF($A152="","",F151-E152)</f>
        <v/>
      </c>
    </row>
    <row r="153">
      <c r="A153" s="12">
        <f>IF(133&gt;$B$5*12,"",133)</f>
        <v/>
      </c>
      <c r="B153" s="13">
        <f>IF($A153="","",EDATE($B$7,133))</f>
        <v/>
      </c>
      <c r="C153" s="14">
        <f>IF($A153="","",MIN($D$4,F152+D153))</f>
        <v/>
      </c>
      <c r="D153" s="14">
        <f>IF($A153="","",F152*$B$6/12)</f>
        <v/>
      </c>
      <c r="E153" s="14">
        <f>IF($A153="","",C153-D153)</f>
        <v/>
      </c>
      <c r="F153" s="14">
        <f>IF($A153="","",F152-E153)</f>
        <v/>
      </c>
    </row>
    <row r="154">
      <c r="A154" s="12">
        <f>IF(134&gt;$B$5*12,"",134)</f>
        <v/>
      </c>
      <c r="B154" s="13">
        <f>IF($A154="","",EDATE($B$7,134))</f>
        <v/>
      </c>
      <c r="C154" s="14">
        <f>IF($A154="","",MIN($D$4,F153+D154))</f>
        <v/>
      </c>
      <c r="D154" s="14">
        <f>IF($A154="","",F153*$B$6/12)</f>
        <v/>
      </c>
      <c r="E154" s="14">
        <f>IF($A154="","",C154-D154)</f>
        <v/>
      </c>
      <c r="F154" s="14">
        <f>IF($A154="","",F153-E154)</f>
        <v/>
      </c>
    </row>
    <row r="155">
      <c r="A155" s="12">
        <f>IF(135&gt;$B$5*12,"",135)</f>
        <v/>
      </c>
      <c r="B155" s="13">
        <f>IF($A155="","",EDATE($B$7,135))</f>
        <v/>
      </c>
      <c r="C155" s="14">
        <f>IF($A155="","",MIN($D$4,F154+D155))</f>
        <v/>
      </c>
      <c r="D155" s="14">
        <f>IF($A155="","",F154*$B$6/12)</f>
        <v/>
      </c>
      <c r="E155" s="14">
        <f>IF($A155="","",C155-D155)</f>
        <v/>
      </c>
      <c r="F155" s="14">
        <f>IF($A155="","",F154-E155)</f>
        <v/>
      </c>
    </row>
    <row r="156">
      <c r="A156" s="12">
        <f>IF(136&gt;$B$5*12,"",136)</f>
        <v/>
      </c>
      <c r="B156" s="13">
        <f>IF($A156="","",EDATE($B$7,136))</f>
        <v/>
      </c>
      <c r="C156" s="14">
        <f>IF($A156="","",MIN($D$4,F155+D156))</f>
        <v/>
      </c>
      <c r="D156" s="14">
        <f>IF($A156="","",F155*$B$6/12)</f>
        <v/>
      </c>
      <c r="E156" s="14">
        <f>IF($A156="","",C156-D156)</f>
        <v/>
      </c>
      <c r="F156" s="14">
        <f>IF($A156="","",F155-E156)</f>
        <v/>
      </c>
    </row>
    <row r="157">
      <c r="A157" s="12">
        <f>IF(137&gt;$B$5*12,"",137)</f>
        <v/>
      </c>
      <c r="B157" s="13">
        <f>IF($A157="","",EDATE($B$7,137))</f>
        <v/>
      </c>
      <c r="C157" s="14">
        <f>IF($A157="","",MIN($D$4,F156+D157))</f>
        <v/>
      </c>
      <c r="D157" s="14">
        <f>IF($A157="","",F156*$B$6/12)</f>
        <v/>
      </c>
      <c r="E157" s="14">
        <f>IF($A157="","",C157-D157)</f>
        <v/>
      </c>
      <c r="F157" s="14">
        <f>IF($A157="","",F156-E157)</f>
        <v/>
      </c>
    </row>
    <row r="158">
      <c r="A158" s="12">
        <f>IF(138&gt;$B$5*12,"",138)</f>
        <v/>
      </c>
      <c r="B158" s="13">
        <f>IF($A158="","",EDATE($B$7,138))</f>
        <v/>
      </c>
      <c r="C158" s="14">
        <f>IF($A158="","",MIN($D$4,F157+D158))</f>
        <v/>
      </c>
      <c r="D158" s="14">
        <f>IF($A158="","",F157*$B$6/12)</f>
        <v/>
      </c>
      <c r="E158" s="14">
        <f>IF($A158="","",C158-D158)</f>
        <v/>
      </c>
      <c r="F158" s="14">
        <f>IF($A158="","",F157-E158)</f>
        <v/>
      </c>
    </row>
    <row r="159">
      <c r="A159" s="12">
        <f>IF(139&gt;$B$5*12,"",139)</f>
        <v/>
      </c>
      <c r="B159" s="13">
        <f>IF($A159="","",EDATE($B$7,139))</f>
        <v/>
      </c>
      <c r="C159" s="14">
        <f>IF($A159="","",MIN($D$4,F158+D159))</f>
        <v/>
      </c>
      <c r="D159" s="14">
        <f>IF($A159="","",F158*$B$6/12)</f>
        <v/>
      </c>
      <c r="E159" s="14">
        <f>IF($A159="","",C159-D159)</f>
        <v/>
      </c>
      <c r="F159" s="14">
        <f>IF($A159="","",F158-E159)</f>
        <v/>
      </c>
    </row>
    <row r="160">
      <c r="A160" s="12">
        <f>IF(140&gt;$B$5*12,"",140)</f>
        <v/>
      </c>
      <c r="B160" s="13">
        <f>IF($A160="","",EDATE($B$7,140))</f>
        <v/>
      </c>
      <c r="C160" s="14">
        <f>IF($A160="","",MIN($D$4,F159+D160))</f>
        <v/>
      </c>
      <c r="D160" s="14">
        <f>IF($A160="","",F159*$B$6/12)</f>
        <v/>
      </c>
      <c r="E160" s="14">
        <f>IF($A160="","",C160-D160)</f>
        <v/>
      </c>
      <c r="F160" s="14">
        <f>IF($A160="","",F159-E160)</f>
        <v/>
      </c>
    </row>
    <row r="161">
      <c r="A161" s="12">
        <f>IF(141&gt;$B$5*12,"",141)</f>
        <v/>
      </c>
      <c r="B161" s="13">
        <f>IF($A161="","",EDATE($B$7,141))</f>
        <v/>
      </c>
      <c r="C161" s="14">
        <f>IF($A161="","",MIN($D$4,F160+D161))</f>
        <v/>
      </c>
      <c r="D161" s="14">
        <f>IF($A161="","",F160*$B$6/12)</f>
        <v/>
      </c>
      <c r="E161" s="14">
        <f>IF($A161="","",C161-D161)</f>
        <v/>
      </c>
      <c r="F161" s="14">
        <f>IF($A161="","",F160-E161)</f>
        <v/>
      </c>
    </row>
    <row r="162">
      <c r="A162" s="12">
        <f>IF(142&gt;$B$5*12,"",142)</f>
        <v/>
      </c>
      <c r="B162" s="13">
        <f>IF($A162="","",EDATE($B$7,142))</f>
        <v/>
      </c>
      <c r="C162" s="14">
        <f>IF($A162="","",MIN($D$4,F161+D162))</f>
        <v/>
      </c>
      <c r="D162" s="14">
        <f>IF($A162="","",F161*$B$6/12)</f>
        <v/>
      </c>
      <c r="E162" s="14">
        <f>IF($A162="","",C162-D162)</f>
        <v/>
      </c>
      <c r="F162" s="14">
        <f>IF($A162="","",F161-E162)</f>
        <v/>
      </c>
    </row>
    <row r="163">
      <c r="A163" s="12">
        <f>IF(143&gt;$B$5*12,"",143)</f>
        <v/>
      </c>
      <c r="B163" s="13">
        <f>IF($A163="","",EDATE($B$7,143))</f>
        <v/>
      </c>
      <c r="C163" s="14">
        <f>IF($A163="","",MIN($D$4,F162+D163))</f>
        <v/>
      </c>
      <c r="D163" s="14">
        <f>IF($A163="","",F162*$B$6/12)</f>
        <v/>
      </c>
      <c r="E163" s="14">
        <f>IF($A163="","",C163-D163)</f>
        <v/>
      </c>
      <c r="F163" s="14">
        <f>IF($A163="","",F162-E163)</f>
        <v/>
      </c>
    </row>
    <row r="164">
      <c r="A164" s="12">
        <f>IF(144&gt;$B$5*12,"",144)</f>
        <v/>
      </c>
      <c r="B164" s="13">
        <f>IF($A164="","",EDATE($B$7,144))</f>
        <v/>
      </c>
      <c r="C164" s="14">
        <f>IF($A164="","",MIN($D$4,F163+D164))</f>
        <v/>
      </c>
      <c r="D164" s="14">
        <f>IF($A164="","",F163*$B$6/12)</f>
        <v/>
      </c>
      <c r="E164" s="14">
        <f>IF($A164="","",C164-D164)</f>
        <v/>
      </c>
      <c r="F164" s="14">
        <f>IF($A164="","",F163-E164)</f>
        <v/>
      </c>
    </row>
    <row r="165">
      <c r="A165" s="12">
        <f>IF(145&gt;$B$5*12,"",145)</f>
        <v/>
      </c>
      <c r="B165" s="13">
        <f>IF($A165="","",EDATE($B$7,145))</f>
        <v/>
      </c>
      <c r="C165" s="14">
        <f>IF($A165="","",MIN($D$4,F164+D165))</f>
        <v/>
      </c>
      <c r="D165" s="14">
        <f>IF($A165="","",F164*$B$6/12)</f>
        <v/>
      </c>
      <c r="E165" s="14">
        <f>IF($A165="","",C165-D165)</f>
        <v/>
      </c>
      <c r="F165" s="14">
        <f>IF($A165="","",F164-E165)</f>
        <v/>
      </c>
    </row>
    <row r="166">
      <c r="A166" s="12">
        <f>IF(146&gt;$B$5*12,"",146)</f>
        <v/>
      </c>
      <c r="B166" s="13">
        <f>IF($A166="","",EDATE($B$7,146))</f>
        <v/>
      </c>
      <c r="C166" s="14">
        <f>IF($A166="","",MIN($D$4,F165+D166))</f>
        <v/>
      </c>
      <c r="D166" s="14">
        <f>IF($A166="","",F165*$B$6/12)</f>
        <v/>
      </c>
      <c r="E166" s="14">
        <f>IF($A166="","",C166-D166)</f>
        <v/>
      </c>
      <c r="F166" s="14">
        <f>IF($A166="","",F165-E166)</f>
        <v/>
      </c>
    </row>
    <row r="167">
      <c r="A167" s="12">
        <f>IF(147&gt;$B$5*12,"",147)</f>
        <v/>
      </c>
      <c r="B167" s="13">
        <f>IF($A167="","",EDATE($B$7,147))</f>
        <v/>
      </c>
      <c r="C167" s="14">
        <f>IF($A167="","",MIN($D$4,F166+D167))</f>
        <v/>
      </c>
      <c r="D167" s="14">
        <f>IF($A167="","",F166*$B$6/12)</f>
        <v/>
      </c>
      <c r="E167" s="14">
        <f>IF($A167="","",C167-D167)</f>
        <v/>
      </c>
      <c r="F167" s="14">
        <f>IF($A167="","",F166-E167)</f>
        <v/>
      </c>
    </row>
    <row r="168">
      <c r="A168" s="12">
        <f>IF(148&gt;$B$5*12,"",148)</f>
        <v/>
      </c>
      <c r="B168" s="13">
        <f>IF($A168="","",EDATE($B$7,148))</f>
        <v/>
      </c>
      <c r="C168" s="14">
        <f>IF($A168="","",MIN($D$4,F167+D168))</f>
        <v/>
      </c>
      <c r="D168" s="14">
        <f>IF($A168="","",F167*$B$6/12)</f>
        <v/>
      </c>
      <c r="E168" s="14">
        <f>IF($A168="","",C168-D168)</f>
        <v/>
      </c>
      <c r="F168" s="14">
        <f>IF($A168="","",F167-E168)</f>
        <v/>
      </c>
    </row>
    <row r="169">
      <c r="A169" s="12">
        <f>IF(149&gt;$B$5*12,"",149)</f>
        <v/>
      </c>
      <c r="B169" s="13">
        <f>IF($A169="","",EDATE($B$7,149))</f>
        <v/>
      </c>
      <c r="C169" s="14">
        <f>IF($A169="","",MIN($D$4,F168+D169))</f>
        <v/>
      </c>
      <c r="D169" s="14">
        <f>IF($A169="","",F168*$B$6/12)</f>
        <v/>
      </c>
      <c r="E169" s="14">
        <f>IF($A169="","",C169-D169)</f>
        <v/>
      </c>
      <c r="F169" s="14">
        <f>IF($A169="","",F168-E169)</f>
        <v/>
      </c>
    </row>
    <row r="170">
      <c r="A170" s="12">
        <f>IF(150&gt;$B$5*12,"",150)</f>
        <v/>
      </c>
      <c r="B170" s="13">
        <f>IF($A170="","",EDATE($B$7,150))</f>
        <v/>
      </c>
      <c r="C170" s="14">
        <f>IF($A170="","",MIN($D$4,F169+D170))</f>
        <v/>
      </c>
      <c r="D170" s="14">
        <f>IF($A170="","",F169*$B$6/12)</f>
        <v/>
      </c>
      <c r="E170" s="14">
        <f>IF($A170="","",C170-D170)</f>
        <v/>
      </c>
      <c r="F170" s="14">
        <f>IF($A170="","",F169-E170)</f>
        <v/>
      </c>
    </row>
    <row r="171">
      <c r="A171" s="12">
        <f>IF(151&gt;$B$5*12,"",151)</f>
        <v/>
      </c>
      <c r="B171" s="13">
        <f>IF($A171="","",EDATE($B$7,151))</f>
        <v/>
      </c>
      <c r="C171" s="14">
        <f>IF($A171="","",MIN($D$4,F170+D171))</f>
        <v/>
      </c>
      <c r="D171" s="14">
        <f>IF($A171="","",F170*$B$6/12)</f>
        <v/>
      </c>
      <c r="E171" s="14">
        <f>IF($A171="","",C171-D171)</f>
        <v/>
      </c>
      <c r="F171" s="14">
        <f>IF($A171="","",F170-E171)</f>
        <v/>
      </c>
    </row>
    <row r="172">
      <c r="A172" s="12">
        <f>IF(152&gt;$B$5*12,"",152)</f>
        <v/>
      </c>
      <c r="B172" s="13">
        <f>IF($A172="","",EDATE($B$7,152))</f>
        <v/>
      </c>
      <c r="C172" s="14">
        <f>IF($A172="","",MIN($D$4,F171+D172))</f>
        <v/>
      </c>
      <c r="D172" s="14">
        <f>IF($A172="","",F171*$B$6/12)</f>
        <v/>
      </c>
      <c r="E172" s="14">
        <f>IF($A172="","",C172-D172)</f>
        <v/>
      </c>
      <c r="F172" s="14">
        <f>IF($A172="","",F171-E172)</f>
        <v/>
      </c>
    </row>
    <row r="173">
      <c r="A173" s="12">
        <f>IF(153&gt;$B$5*12,"",153)</f>
        <v/>
      </c>
      <c r="B173" s="13">
        <f>IF($A173="","",EDATE($B$7,153))</f>
        <v/>
      </c>
      <c r="C173" s="14">
        <f>IF($A173="","",MIN($D$4,F172+D173))</f>
        <v/>
      </c>
      <c r="D173" s="14">
        <f>IF($A173="","",F172*$B$6/12)</f>
        <v/>
      </c>
      <c r="E173" s="14">
        <f>IF($A173="","",C173-D173)</f>
        <v/>
      </c>
      <c r="F173" s="14">
        <f>IF($A173="","",F172-E173)</f>
        <v/>
      </c>
    </row>
    <row r="174">
      <c r="A174" s="12">
        <f>IF(154&gt;$B$5*12,"",154)</f>
        <v/>
      </c>
      <c r="B174" s="13">
        <f>IF($A174="","",EDATE($B$7,154))</f>
        <v/>
      </c>
      <c r="C174" s="14">
        <f>IF($A174="","",MIN($D$4,F173+D174))</f>
        <v/>
      </c>
      <c r="D174" s="14">
        <f>IF($A174="","",F173*$B$6/12)</f>
        <v/>
      </c>
      <c r="E174" s="14">
        <f>IF($A174="","",C174-D174)</f>
        <v/>
      </c>
      <c r="F174" s="14">
        <f>IF($A174="","",F173-E174)</f>
        <v/>
      </c>
    </row>
    <row r="175">
      <c r="A175" s="12">
        <f>IF(155&gt;$B$5*12,"",155)</f>
        <v/>
      </c>
      <c r="B175" s="13">
        <f>IF($A175="","",EDATE($B$7,155))</f>
        <v/>
      </c>
      <c r="C175" s="14">
        <f>IF($A175="","",MIN($D$4,F174+D175))</f>
        <v/>
      </c>
      <c r="D175" s="14">
        <f>IF($A175="","",F174*$B$6/12)</f>
        <v/>
      </c>
      <c r="E175" s="14">
        <f>IF($A175="","",C175-D175)</f>
        <v/>
      </c>
      <c r="F175" s="14">
        <f>IF($A175="","",F174-E175)</f>
        <v/>
      </c>
    </row>
    <row r="176">
      <c r="A176" s="12">
        <f>IF(156&gt;$B$5*12,"",156)</f>
        <v/>
      </c>
      <c r="B176" s="13">
        <f>IF($A176="","",EDATE($B$7,156))</f>
        <v/>
      </c>
      <c r="C176" s="14">
        <f>IF($A176="","",MIN($D$4,F175+D176))</f>
        <v/>
      </c>
      <c r="D176" s="14">
        <f>IF($A176="","",F175*$B$6/12)</f>
        <v/>
      </c>
      <c r="E176" s="14">
        <f>IF($A176="","",C176-D176)</f>
        <v/>
      </c>
      <c r="F176" s="14">
        <f>IF($A176="","",F175-E176)</f>
        <v/>
      </c>
    </row>
    <row r="177">
      <c r="A177" s="12">
        <f>IF(157&gt;$B$5*12,"",157)</f>
        <v/>
      </c>
      <c r="B177" s="13">
        <f>IF($A177="","",EDATE($B$7,157))</f>
        <v/>
      </c>
      <c r="C177" s="14">
        <f>IF($A177="","",MIN($D$4,F176+D177))</f>
        <v/>
      </c>
      <c r="D177" s="14">
        <f>IF($A177="","",F176*$B$6/12)</f>
        <v/>
      </c>
      <c r="E177" s="14">
        <f>IF($A177="","",C177-D177)</f>
        <v/>
      </c>
      <c r="F177" s="14">
        <f>IF($A177="","",F176-E177)</f>
        <v/>
      </c>
    </row>
    <row r="178">
      <c r="A178" s="12">
        <f>IF(158&gt;$B$5*12,"",158)</f>
        <v/>
      </c>
      <c r="B178" s="13">
        <f>IF($A178="","",EDATE($B$7,158))</f>
        <v/>
      </c>
      <c r="C178" s="14">
        <f>IF($A178="","",MIN($D$4,F177+D178))</f>
        <v/>
      </c>
      <c r="D178" s="14">
        <f>IF($A178="","",F177*$B$6/12)</f>
        <v/>
      </c>
      <c r="E178" s="14">
        <f>IF($A178="","",C178-D178)</f>
        <v/>
      </c>
      <c r="F178" s="14">
        <f>IF($A178="","",F177-E178)</f>
        <v/>
      </c>
    </row>
    <row r="179">
      <c r="A179" s="12">
        <f>IF(159&gt;$B$5*12,"",159)</f>
        <v/>
      </c>
      <c r="B179" s="13">
        <f>IF($A179="","",EDATE($B$7,159))</f>
        <v/>
      </c>
      <c r="C179" s="14">
        <f>IF($A179="","",MIN($D$4,F178+D179))</f>
        <v/>
      </c>
      <c r="D179" s="14">
        <f>IF($A179="","",F178*$B$6/12)</f>
        <v/>
      </c>
      <c r="E179" s="14">
        <f>IF($A179="","",C179-D179)</f>
        <v/>
      </c>
      <c r="F179" s="14">
        <f>IF($A179="","",F178-E179)</f>
        <v/>
      </c>
    </row>
    <row r="180">
      <c r="A180" s="12">
        <f>IF(160&gt;$B$5*12,"",160)</f>
        <v/>
      </c>
      <c r="B180" s="13">
        <f>IF($A180="","",EDATE($B$7,160))</f>
        <v/>
      </c>
      <c r="C180" s="14">
        <f>IF($A180="","",MIN($D$4,F179+D180))</f>
        <v/>
      </c>
      <c r="D180" s="14">
        <f>IF($A180="","",F179*$B$6/12)</f>
        <v/>
      </c>
      <c r="E180" s="14">
        <f>IF($A180="","",C180-D180)</f>
        <v/>
      </c>
      <c r="F180" s="14">
        <f>IF($A180="","",F179-E180)</f>
        <v/>
      </c>
    </row>
    <row r="181">
      <c r="A181" s="12">
        <f>IF(161&gt;$B$5*12,"",161)</f>
        <v/>
      </c>
      <c r="B181" s="13">
        <f>IF($A181="","",EDATE($B$7,161))</f>
        <v/>
      </c>
      <c r="C181" s="14">
        <f>IF($A181="","",MIN($D$4,F180+D181))</f>
        <v/>
      </c>
      <c r="D181" s="14">
        <f>IF($A181="","",F180*$B$6/12)</f>
        <v/>
      </c>
      <c r="E181" s="14">
        <f>IF($A181="","",C181-D181)</f>
        <v/>
      </c>
      <c r="F181" s="14">
        <f>IF($A181="","",F180-E181)</f>
        <v/>
      </c>
    </row>
    <row r="182">
      <c r="A182" s="12">
        <f>IF(162&gt;$B$5*12,"",162)</f>
        <v/>
      </c>
      <c r="B182" s="13">
        <f>IF($A182="","",EDATE($B$7,162))</f>
        <v/>
      </c>
      <c r="C182" s="14">
        <f>IF($A182="","",MIN($D$4,F181+D182))</f>
        <v/>
      </c>
      <c r="D182" s="14">
        <f>IF($A182="","",F181*$B$6/12)</f>
        <v/>
      </c>
      <c r="E182" s="14">
        <f>IF($A182="","",C182-D182)</f>
        <v/>
      </c>
      <c r="F182" s="14">
        <f>IF($A182="","",F181-E182)</f>
        <v/>
      </c>
    </row>
    <row r="183">
      <c r="A183" s="12">
        <f>IF(163&gt;$B$5*12,"",163)</f>
        <v/>
      </c>
      <c r="B183" s="13">
        <f>IF($A183="","",EDATE($B$7,163))</f>
        <v/>
      </c>
      <c r="C183" s="14">
        <f>IF($A183="","",MIN($D$4,F182+D183))</f>
        <v/>
      </c>
      <c r="D183" s="14">
        <f>IF($A183="","",F182*$B$6/12)</f>
        <v/>
      </c>
      <c r="E183" s="14">
        <f>IF($A183="","",C183-D183)</f>
        <v/>
      </c>
      <c r="F183" s="14">
        <f>IF($A183="","",F182-E183)</f>
        <v/>
      </c>
    </row>
    <row r="184">
      <c r="A184" s="12">
        <f>IF(164&gt;$B$5*12,"",164)</f>
        <v/>
      </c>
      <c r="B184" s="13">
        <f>IF($A184="","",EDATE($B$7,164))</f>
        <v/>
      </c>
      <c r="C184" s="14">
        <f>IF($A184="","",MIN($D$4,F183+D184))</f>
        <v/>
      </c>
      <c r="D184" s="14">
        <f>IF($A184="","",F183*$B$6/12)</f>
        <v/>
      </c>
      <c r="E184" s="14">
        <f>IF($A184="","",C184-D184)</f>
        <v/>
      </c>
      <c r="F184" s="14">
        <f>IF($A184="","",F183-E184)</f>
        <v/>
      </c>
    </row>
    <row r="185">
      <c r="A185" s="12">
        <f>IF(165&gt;$B$5*12,"",165)</f>
        <v/>
      </c>
      <c r="B185" s="13">
        <f>IF($A185="","",EDATE($B$7,165))</f>
        <v/>
      </c>
      <c r="C185" s="14">
        <f>IF($A185="","",MIN($D$4,F184+D185))</f>
        <v/>
      </c>
      <c r="D185" s="14">
        <f>IF($A185="","",F184*$B$6/12)</f>
        <v/>
      </c>
      <c r="E185" s="14">
        <f>IF($A185="","",C185-D185)</f>
        <v/>
      </c>
      <c r="F185" s="14">
        <f>IF($A185="","",F184-E185)</f>
        <v/>
      </c>
    </row>
    <row r="186">
      <c r="A186" s="12">
        <f>IF(166&gt;$B$5*12,"",166)</f>
        <v/>
      </c>
      <c r="B186" s="13">
        <f>IF($A186="","",EDATE($B$7,166))</f>
        <v/>
      </c>
      <c r="C186" s="14">
        <f>IF($A186="","",MIN($D$4,F185+D186))</f>
        <v/>
      </c>
      <c r="D186" s="14">
        <f>IF($A186="","",F185*$B$6/12)</f>
        <v/>
      </c>
      <c r="E186" s="14">
        <f>IF($A186="","",C186-D186)</f>
        <v/>
      </c>
      <c r="F186" s="14">
        <f>IF($A186="","",F185-E186)</f>
        <v/>
      </c>
    </row>
    <row r="187">
      <c r="A187" s="12">
        <f>IF(167&gt;$B$5*12,"",167)</f>
        <v/>
      </c>
      <c r="B187" s="13">
        <f>IF($A187="","",EDATE($B$7,167))</f>
        <v/>
      </c>
      <c r="C187" s="14">
        <f>IF($A187="","",MIN($D$4,F186+D187))</f>
        <v/>
      </c>
      <c r="D187" s="14">
        <f>IF($A187="","",F186*$B$6/12)</f>
        <v/>
      </c>
      <c r="E187" s="14">
        <f>IF($A187="","",C187-D187)</f>
        <v/>
      </c>
      <c r="F187" s="14">
        <f>IF($A187="","",F186-E187)</f>
        <v/>
      </c>
    </row>
    <row r="188">
      <c r="A188" s="12">
        <f>IF(168&gt;$B$5*12,"",168)</f>
        <v/>
      </c>
      <c r="B188" s="13">
        <f>IF($A188="","",EDATE($B$7,168))</f>
        <v/>
      </c>
      <c r="C188" s="14">
        <f>IF($A188="","",MIN($D$4,F187+D188))</f>
        <v/>
      </c>
      <c r="D188" s="14">
        <f>IF($A188="","",F187*$B$6/12)</f>
        <v/>
      </c>
      <c r="E188" s="14">
        <f>IF($A188="","",C188-D188)</f>
        <v/>
      </c>
      <c r="F188" s="14">
        <f>IF($A188="","",F187-E188)</f>
        <v/>
      </c>
    </row>
    <row r="189">
      <c r="A189" s="12">
        <f>IF(169&gt;$B$5*12,"",169)</f>
        <v/>
      </c>
      <c r="B189" s="13">
        <f>IF($A189="","",EDATE($B$7,169))</f>
        <v/>
      </c>
      <c r="C189" s="14">
        <f>IF($A189="","",MIN($D$4,F188+D189))</f>
        <v/>
      </c>
      <c r="D189" s="14">
        <f>IF($A189="","",F188*$B$6/12)</f>
        <v/>
      </c>
      <c r="E189" s="14">
        <f>IF($A189="","",C189-D189)</f>
        <v/>
      </c>
      <c r="F189" s="14">
        <f>IF($A189="","",F188-E189)</f>
        <v/>
      </c>
    </row>
    <row r="190">
      <c r="A190" s="12">
        <f>IF(170&gt;$B$5*12,"",170)</f>
        <v/>
      </c>
      <c r="B190" s="13">
        <f>IF($A190="","",EDATE($B$7,170))</f>
        <v/>
      </c>
      <c r="C190" s="14">
        <f>IF($A190="","",MIN($D$4,F189+D190))</f>
        <v/>
      </c>
      <c r="D190" s="14">
        <f>IF($A190="","",F189*$B$6/12)</f>
        <v/>
      </c>
      <c r="E190" s="14">
        <f>IF($A190="","",C190-D190)</f>
        <v/>
      </c>
      <c r="F190" s="14">
        <f>IF($A190="","",F189-E190)</f>
        <v/>
      </c>
    </row>
    <row r="191">
      <c r="A191" s="12">
        <f>IF(171&gt;$B$5*12,"",171)</f>
        <v/>
      </c>
      <c r="B191" s="13">
        <f>IF($A191="","",EDATE($B$7,171))</f>
        <v/>
      </c>
      <c r="C191" s="14">
        <f>IF($A191="","",MIN($D$4,F190+D191))</f>
        <v/>
      </c>
      <c r="D191" s="14">
        <f>IF($A191="","",F190*$B$6/12)</f>
        <v/>
      </c>
      <c r="E191" s="14">
        <f>IF($A191="","",C191-D191)</f>
        <v/>
      </c>
      <c r="F191" s="14">
        <f>IF($A191="","",F190-E191)</f>
        <v/>
      </c>
    </row>
    <row r="192">
      <c r="A192" s="12">
        <f>IF(172&gt;$B$5*12,"",172)</f>
        <v/>
      </c>
      <c r="B192" s="13">
        <f>IF($A192="","",EDATE($B$7,172))</f>
        <v/>
      </c>
      <c r="C192" s="14">
        <f>IF($A192="","",MIN($D$4,F191+D192))</f>
        <v/>
      </c>
      <c r="D192" s="14">
        <f>IF($A192="","",F191*$B$6/12)</f>
        <v/>
      </c>
      <c r="E192" s="14">
        <f>IF($A192="","",C192-D192)</f>
        <v/>
      </c>
      <c r="F192" s="14">
        <f>IF($A192="","",F191-E192)</f>
        <v/>
      </c>
    </row>
    <row r="193">
      <c r="A193" s="12">
        <f>IF(173&gt;$B$5*12,"",173)</f>
        <v/>
      </c>
      <c r="B193" s="13">
        <f>IF($A193="","",EDATE($B$7,173))</f>
        <v/>
      </c>
      <c r="C193" s="14">
        <f>IF($A193="","",MIN($D$4,F192+D193))</f>
        <v/>
      </c>
      <c r="D193" s="14">
        <f>IF($A193="","",F192*$B$6/12)</f>
        <v/>
      </c>
      <c r="E193" s="14">
        <f>IF($A193="","",C193-D193)</f>
        <v/>
      </c>
      <c r="F193" s="14">
        <f>IF($A193="","",F192-E193)</f>
        <v/>
      </c>
    </row>
    <row r="194">
      <c r="A194" s="12">
        <f>IF(174&gt;$B$5*12,"",174)</f>
        <v/>
      </c>
      <c r="B194" s="13">
        <f>IF($A194="","",EDATE($B$7,174))</f>
        <v/>
      </c>
      <c r="C194" s="14">
        <f>IF($A194="","",MIN($D$4,F193+D194))</f>
        <v/>
      </c>
      <c r="D194" s="14">
        <f>IF($A194="","",F193*$B$6/12)</f>
        <v/>
      </c>
      <c r="E194" s="14">
        <f>IF($A194="","",C194-D194)</f>
        <v/>
      </c>
      <c r="F194" s="14">
        <f>IF($A194="","",F193-E194)</f>
        <v/>
      </c>
    </row>
    <row r="195">
      <c r="A195" s="12">
        <f>IF(175&gt;$B$5*12,"",175)</f>
        <v/>
      </c>
      <c r="B195" s="13">
        <f>IF($A195="","",EDATE($B$7,175))</f>
        <v/>
      </c>
      <c r="C195" s="14">
        <f>IF($A195="","",MIN($D$4,F194+D195))</f>
        <v/>
      </c>
      <c r="D195" s="14">
        <f>IF($A195="","",F194*$B$6/12)</f>
        <v/>
      </c>
      <c r="E195" s="14">
        <f>IF($A195="","",C195-D195)</f>
        <v/>
      </c>
      <c r="F195" s="14">
        <f>IF($A195="","",F194-E195)</f>
        <v/>
      </c>
    </row>
    <row r="196">
      <c r="A196" s="12">
        <f>IF(176&gt;$B$5*12,"",176)</f>
        <v/>
      </c>
      <c r="B196" s="13">
        <f>IF($A196="","",EDATE($B$7,176))</f>
        <v/>
      </c>
      <c r="C196" s="14">
        <f>IF($A196="","",MIN($D$4,F195+D196))</f>
        <v/>
      </c>
      <c r="D196" s="14">
        <f>IF($A196="","",F195*$B$6/12)</f>
        <v/>
      </c>
      <c r="E196" s="14">
        <f>IF($A196="","",C196-D196)</f>
        <v/>
      </c>
      <c r="F196" s="14">
        <f>IF($A196="","",F195-E196)</f>
        <v/>
      </c>
    </row>
    <row r="197">
      <c r="A197" s="12">
        <f>IF(177&gt;$B$5*12,"",177)</f>
        <v/>
      </c>
      <c r="B197" s="13">
        <f>IF($A197="","",EDATE($B$7,177))</f>
        <v/>
      </c>
      <c r="C197" s="14">
        <f>IF($A197="","",MIN($D$4,F196+D197))</f>
        <v/>
      </c>
      <c r="D197" s="14">
        <f>IF($A197="","",F196*$B$6/12)</f>
        <v/>
      </c>
      <c r="E197" s="14">
        <f>IF($A197="","",C197-D197)</f>
        <v/>
      </c>
      <c r="F197" s="14">
        <f>IF($A197="","",F196-E197)</f>
        <v/>
      </c>
    </row>
    <row r="198">
      <c r="A198" s="12">
        <f>IF(178&gt;$B$5*12,"",178)</f>
        <v/>
      </c>
      <c r="B198" s="13">
        <f>IF($A198="","",EDATE($B$7,178))</f>
        <v/>
      </c>
      <c r="C198" s="14">
        <f>IF($A198="","",MIN($D$4,F197+D198))</f>
        <v/>
      </c>
      <c r="D198" s="14">
        <f>IF($A198="","",F197*$B$6/12)</f>
        <v/>
      </c>
      <c r="E198" s="14">
        <f>IF($A198="","",C198-D198)</f>
        <v/>
      </c>
      <c r="F198" s="14">
        <f>IF($A198="","",F197-E198)</f>
        <v/>
      </c>
    </row>
    <row r="199">
      <c r="A199" s="12">
        <f>IF(179&gt;$B$5*12,"",179)</f>
        <v/>
      </c>
      <c r="B199" s="13">
        <f>IF($A199="","",EDATE($B$7,179))</f>
        <v/>
      </c>
      <c r="C199" s="14">
        <f>IF($A199="","",MIN($D$4,F198+D199))</f>
        <v/>
      </c>
      <c r="D199" s="14">
        <f>IF($A199="","",F198*$B$6/12)</f>
        <v/>
      </c>
      <c r="E199" s="14">
        <f>IF($A199="","",C199-D199)</f>
        <v/>
      </c>
      <c r="F199" s="14">
        <f>IF($A199="","",F198-E199)</f>
        <v/>
      </c>
    </row>
    <row r="200">
      <c r="A200" s="12">
        <f>IF(180&gt;$B$5*12,"",180)</f>
        <v/>
      </c>
      <c r="B200" s="13">
        <f>IF($A200="","",EDATE($B$7,180))</f>
        <v/>
      </c>
      <c r="C200" s="14">
        <f>IF($A200="","",MIN($D$4,F199+D200))</f>
        <v/>
      </c>
      <c r="D200" s="14">
        <f>IF($A200="","",F199*$B$6/12)</f>
        <v/>
      </c>
      <c r="E200" s="14">
        <f>IF($A200="","",C200-D200)</f>
        <v/>
      </c>
      <c r="F200" s="14">
        <f>IF($A200="","",F199-E200)</f>
        <v/>
      </c>
    </row>
    <row r="201">
      <c r="A201" s="12">
        <f>IF(181&gt;$B$5*12,"",181)</f>
        <v/>
      </c>
      <c r="B201" s="13">
        <f>IF($A201="","",EDATE($B$7,181))</f>
        <v/>
      </c>
      <c r="C201" s="14">
        <f>IF($A201="","",MIN($D$4,F200+D201))</f>
        <v/>
      </c>
      <c r="D201" s="14">
        <f>IF($A201="","",F200*$B$6/12)</f>
        <v/>
      </c>
      <c r="E201" s="14">
        <f>IF($A201="","",C201-D201)</f>
        <v/>
      </c>
      <c r="F201" s="14">
        <f>IF($A201="","",F200-E201)</f>
        <v/>
      </c>
    </row>
    <row r="202">
      <c r="A202" s="12">
        <f>IF(182&gt;$B$5*12,"",182)</f>
        <v/>
      </c>
      <c r="B202" s="13">
        <f>IF($A202="","",EDATE($B$7,182))</f>
        <v/>
      </c>
      <c r="C202" s="14">
        <f>IF($A202="","",MIN($D$4,F201+D202))</f>
        <v/>
      </c>
      <c r="D202" s="14">
        <f>IF($A202="","",F201*$B$6/12)</f>
        <v/>
      </c>
      <c r="E202" s="14">
        <f>IF($A202="","",C202-D202)</f>
        <v/>
      </c>
      <c r="F202" s="14">
        <f>IF($A202="","",F201-E202)</f>
        <v/>
      </c>
    </row>
    <row r="203">
      <c r="A203" s="12">
        <f>IF(183&gt;$B$5*12,"",183)</f>
        <v/>
      </c>
      <c r="B203" s="13">
        <f>IF($A203="","",EDATE($B$7,183))</f>
        <v/>
      </c>
      <c r="C203" s="14">
        <f>IF($A203="","",MIN($D$4,F202+D203))</f>
        <v/>
      </c>
      <c r="D203" s="14">
        <f>IF($A203="","",F202*$B$6/12)</f>
        <v/>
      </c>
      <c r="E203" s="14">
        <f>IF($A203="","",C203-D203)</f>
        <v/>
      </c>
      <c r="F203" s="14">
        <f>IF($A203="","",F202-E203)</f>
        <v/>
      </c>
    </row>
    <row r="204">
      <c r="A204" s="12">
        <f>IF(184&gt;$B$5*12,"",184)</f>
        <v/>
      </c>
      <c r="B204" s="13">
        <f>IF($A204="","",EDATE($B$7,184))</f>
        <v/>
      </c>
      <c r="C204" s="14">
        <f>IF($A204="","",MIN($D$4,F203+D204))</f>
        <v/>
      </c>
      <c r="D204" s="14">
        <f>IF($A204="","",F203*$B$6/12)</f>
        <v/>
      </c>
      <c r="E204" s="14">
        <f>IF($A204="","",C204-D204)</f>
        <v/>
      </c>
      <c r="F204" s="14">
        <f>IF($A204="","",F203-E204)</f>
        <v/>
      </c>
    </row>
    <row r="205">
      <c r="A205" s="12">
        <f>IF(185&gt;$B$5*12,"",185)</f>
        <v/>
      </c>
      <c r="B205" s="13">
        <f>IF($A205="","",EDATE($B$7,185))</f>
        <v/>
      </c>
      <c r="C205" s="14">
        <f>IF($A205="","",MIN($D$4,F204+D205))</f>
        <v/>
      </c>
      <c r="D205" s="14">
        <f>IF($A205="","",F204*$B$6/12)</f>
        <v/>
      </c>
      <c r="E205" s="14">
        <f>IF($A205="","",C205-D205)</f>
        <v/>
      </c>
      <c r="F205" s="14">
        <f>IF($A205="","",F204-E205)</f>
        <v/>
      </c>
    </row>
    <row r="206">
      <c r="A206" s="12">
        <f>IF(186&gt;$B$5*12,"",186)</f>
        <v/>
      </c>
      <c r="B206" s="13">
        <f>IF($A206="","",EDATE($B$7,186))</f>
        <v/>
      </c>
      <c r="C206" s="14">
        <f>IF($A206="","",MIN($D$4,F205+D206))</f>
        <v/>
      </c>
      <c r="D206" s="14">
        <f>IF($A206="","",F205*$B$6/12)</f>
        <v/>
      </c>
      <c r="E206" s="14">
        <f>IF($A206="","",C206-D206)</f>
        <v/>
      </c>
      <c r="F206" s="14">
        <f>IF($A206="","",F205-E206)</f>
        <v/>
      </c>
    </row>
    <row r="207">
      <c r="A207" s="12">
        <f>IF(187&gt;$B$5*12,"",187)</f>
        <v/>
      </c>
      <c r="B207" s="13">
        <f>IF($A207="","",EDATE($B$7,187))</f>
        <v/>
      </c>
      <c r="C207" s="14">
        <f>IF($A207="","",MIN($D$4,F206+D207))</f>
        <v/>
      </c>
      <c r="D207" s="14">
        <f>IF($A207="","",F206*$B$6/12)</f>
        <v/>
      </c>
      <c r="E207" s="14">
        <f>IF($A207="","",C207-D207)</f>
        <v/>
      </c>
      <c r="F207" s="14">
        <f>IF($A207="","",F206-E207)</f>
        <v/>
      </c>
    </row>
    <row r="208">
      <c r="A208" s="12">
        <f>IF(188&gt;$B$5*12,"",188)</f>
        <v/>
      </c>
      <c r="B208" s="13">
        <f>IF($A208="","",EDATE($B$7,188))</f>
        <v/>
      </c>
      <c r="C208" s="14">
        <f>IF($A208="","",MIN($D$4,F207+D208))</f>
        <v/>
      </c>
      <c r="D208" s="14">
        <f>IF($A208="","",F207*$B$6/12)</f>
        <v/>
      </c>
      <c r="E208" s="14">
        <f>IF($A208="","",C208-D208)</f>
        <v/>
      </c>
      <c r="F208" s="14">
        <f>IF($A208="","",F207-E208)</f>
        <v/>
      </c>
    </row>
    <row r="209">
      <c r="A209" s="12">
        <f>IF(189&gt;$B$5*12,"",189)</f>
        <v/>
      </c>
      <c r="B209" s="13">
        <f>IF($A209="","",EDATE($B$7,189))</f>
        <v/>
      </c>
      <c r="C209" s="14">
        <f>IF($A209="","",MIN($D$4,F208+D209))</f>
        <v/>
      </c>
      <c r="D209" s="14">
        <f>IF($A209="","",F208*$B$6/12)</f>
        <v/>
      </c>
      <c r="E209" s="14">
        <f>IF($A209="","",C209-D209)</f>
        <v/>
      </c>
      <c r="F209" s="14">
        <f>IF($A209="","",F208-E209)</f>
        <v/>
      </c>
    </row>
    <row r="210">
      <c r="A210" s="12">
        <f>IF(190&gt;$B$5*12,"",190)</f>
        <v/>
      </c>
      <c r="B210" s="13">
        <f>IF($A210="","",EDATE($B$7,190))</f>
        <v/>
      </c>
      <c r="C210" s="14">
        <f>IF($A210="","",MIN($D$4,F209+D210))</f>
        <v/>
      </c>
      <c r="D210" s="14">
        <f>IF($A210="","",F209*$B$6/12)</f>
        <v/>
      </c>
      <c r="E210" s="14">
        <f>IF($A210="","",C210-D210)</f>
        <v/>
      </c>
      <c r="F210" s="14">
        <f>IF($A210="","",F209-E210)</f>
        <v/>
      </c>
    </row>
    <row r="211">
      <c r="A211" s="12">
        <f>IF(191&gt;$B$5*12,"",191)</f>
        <v/>
      </c>
      <c r="B211" s="13">
        <f>IF($A211="","",EDATE($B$7,191))</f>
        <v/>
      </c>
      <c r="C211" s="14">
        <f>IF($A211="","",MIN($D$4,F210+D211))</f>
        <v/>
      </c>
      <c r="D211" s="14">
        <f>IF($A211="","",F210*$B$6/12)</f>
        <v/>
      </c>
      <c r="E211" s="14">
        <f>IF($A211="","",C211-D211)</f>
        <v/>
      </c>
      <c r="F211" s="14">
        <f>IF($A211="","",F210-E211)</f>
        <v/>
      </c>
    </row>
    <row r="212">
      <c r="A212" s="12">
        <f>IF(192&gt;$B$5*12,"",192)</f>
        <v/>
      </c>
      <c r="B212" s="13">
        <f>IF($A212="","",EDATE($B$7,192))</f>
        <v/>
      </c>
      <c r="C212" s="14">
        <f>IF($A212="","",MIN($D$4,F211+D212))</f>
        <v/>
      </c>
      <c r="D212" s="14">
        <f>IF($A212="","",F211*$B$6/12)</f>
        <v/>
      </c>
      <c r="E212" s="14">
        <f>IF($A212="","",C212-D212)</f>
        <v/>
      </c>
      <c r="F212" s="14">
        <f>IF($A212="","",F211-E212)</f>
        <v/>
      </c>
    </row>
    <row r="213">
      <c r="A213" s="12">
        <f>IF(193&gt;$B$5*12,"",193)</f>
        <v/>
      </c>
      <c r="B213" s="13">
        <f>IF($A213="","",EDATE($B$7,193))</f>
        <v/>
      </c>
      <c r="C213" s="14">
        <f>IF($A213="","",MIN($D$4,F212+D213))</f>
        <v/>
      </c>
      <c r="D213" s="14">
        <f>IF($A213="","",F212*$B$6/12)</f>
        <v/>
      </c>
      <c r="E213" s="14">
        <f>IF($A213="","",C213-D213)</f>
        <v/>
      </c>
      <c r="F213" s="14">
        <f>IF($A213="","",F212-E213)</f>
        <v/>
      </c>
    </row>
    <row r="214">
      <c r="A214" s="12">
        <f>IF(194&gt;$B$5*12,"",194)</f>
        <v/>
      </c>
      <c r="B214" s="13">
        <f>IF($A214="","",EDATE($B$7,194))</f>
        <v/>
      </c>
      <c r="C214" s="14">
        <f>IF($A214="","",MIN($D$4,F213+D214))</f>
        <v/>
      </c>
      <c r="D214" s="14">
        <f>IF($A214="","",F213*$B$6/12)</f>
        <v/>
      </c>
      <c r="E214" s="14">
        <f>IF($A214="","",C214-D214)</f>
        <v/>
      </c>
      <c r="F214" s="14">
        <f>IF($A214="","",F213-E214)</f>
        <v/>
      </c>
    </row>
    <row r="215">
      <c r="A215" s="12">
        <f>IF(195&gt;$B$5*12,"",195)</f>
        <v/>
      </c>
      <c r="B215" s="13">
        <f>IF($A215="","",EDATE($B$7,195))</f>
        <v/>
      </c>
      <c r="C215" s="14">
        <f>IF($A215="","",MIN($D$4,F214+D215))</f>
        <v/>
      </c>
      <c r="D215" s="14">
        <f>IF($A215="","",F214*$B$6/12)</f>
        <v/>
      </c>
      <c r="E215" s="14">
        <f>IF($A215="","",C215-D215)</f>
        <v/>
      </c>
      <c r="F215" s="14">
        <f>IF($A215="","",F214-E215)</f>
        <v/>
      </c>
    </row>
    <row r="216">
      <c r="A216" s="12">
        <f>IF(196&gt;$B$5*12,"",196)</f>
        <v/>
      </c>
      <c r="B216" s="13">
        <f>IF($A216="","",EDATE($B$7,196))</f>
        <v/>
      </c>
      <c r="C216" s="14">
        <f>IF($A216="","",MIN($D$4,F215+D216))</f>
        <v/>
      </c>
      <c r="D216" s="14">
        <f>IF($A216="","",F215*$B$6/12)</f>
        <v/>
      </c>
      <c r="E216" s="14">
        <f>IF($A216="","",C216-D216)</f>
        <v/>
      </c>
      <c r="F216" s="14">
        <f>IF($A216="","",F215-E216)</f>
        <v/>
      </c>
    </row>
    <row r="217">
      <c r="A217" s="12">
        <f>IF(197&gt;$B$5*12,"",197)</f>
        <v/>
      </c>
      <c r="B217" s="13">
        <f>IF($A217="","",EDATE($B$7,197))</f>
        <v/>
      </c>
      <c r="C217" s="14">
        <f>IF($A217="","",MIN($D$4,F216+D217))</f>
        <v/>
      </c>
      <c r="D217" s="14">
        <f>IF($A217="","",F216*$B$6/12)</f>
        <v/>
      </c>
      <c r="E217" s="14">
        <f>IF($A217="","",C217-D217)</f>
        <v/>
      </c>
      <c r="F217" s="14">
        <f>IF($A217="","",F216-E217)</f>
        <v/>
      </c>
    </row>
    <row r="218">
      <c r="A218" s="12">
        <f>IF(198&gt;$B$5*12,"",198)</f>
        <v/>
      </c>
      <c r="B218" s="13">
        <f>IF($A218="","",EDATE($B$7,198))</f>
        <v/>
      </c>
      <c r="C218" s="14">
        <f>IF($A218="","",MIN($D$4,F217+D218))</f>
        <v/>
      </c>
      <c r="D218" s="14">
        <f>IF($A218="","",F217*$B$6/12)</f>
        <v/>
      </c>
      <c r="E218" s="14">
        <f>IF($A218="","",C218-D218)</f>
        <v/>
      </c>
      <c r="F218" s="14">
        <f>IF($A218="","",F217-E218)</f>
        <v/>
      </c>
    </row>
    <row r="219">
      <c r="A219" s="12">
        <f>IF(199&gt;$B$5*12,"",199)</f>
        <v/>
      </c>
      <c r="B219" s="13">
        <f>IF($A219="","",EDATE($B$7,199))</f>
        <v/>
      </c>
      <c r="C219" s="14">
        <f>IF($A219="","",MIN($D$4,F218+D219))</f>
        <v/>
      </c>
      <c r="D219" s="14">
        <f>IF($A219="","",F218*$B$6/12)</f>
        <v/>
      </c>
      <c r="E219" s="14">
        <f>IF($A219="","",C219-D219)</f>
        <v/>
      </c>
      <c r="F219" s="14">
        <f>IF($A219="","",F218-E219)</f>
        <v/>
      </c>
    </row>
    <row r="220">
      <c r="A220" s="12">
        <f>IF(200&gt;$B$5*12,"",200)</f>
        <v/>
      </c>
      <c r="B220" s="13">
        <f>IF($A220="","",EDATE($B$7,200))</f>
        <v/>
      </c>
      <c r="C220" s="14">
        <f>IF($A220="","",MIN($D$4,F219+D220))</f>
        <v/>
      </c>
      <c r="D220" s="14">
        <f>IF($A220="","",F219*$B$6/12)</f>
        <v/>
      </c>
      <c r="E220" s="14">
        <f>IF($A220="","",C220-D220)</f>
        <v/>
      </c>
      <c r="F220" s="14">
        <f>IF($A220="","",F219-E220)</f>
        <v/>
      </c>
    </row>
    <row r="221">
      <c r="A221" s="12">
        <f>IF(201&gt;$B$5*12,"",201)</f>
        <v/>
      </c>
      <c r="B221" s="13">
        <f>IF($A221="","",EDATE($B$7,201))</f>
        <v/>
      </c>
      <c r="C221" s="14">
        <f>IF($A221="","",MIN($D$4,F220+D221))</f>
        <v/>
      </c>
      <c r="D221" s="14">
        <f>IF($A221="","",F220*$B$6/12)</f>
        <v/>
      </c>
      <c r="E221" s="14">
        <f>IF($A221="","",C221-D221)</f>
        <v/>
      </c>
      <c r="F221" s="14">
        <f>IF($A221="","",F220-E221)</f>
        <v/>
      </c>
    </row>
    <row r="222">
      <c r="A222" s="12">
        <f>IF(202&gt;$B$5*12,"",202)</f>
        <v/>
      </c>
      <c r="B222" s="13">
        <f>IF($A222="","",EDATE($B$7,202))</f>
        <v/>
      </c>
      <c r="C222" s="14">
        <f>IF($A222="","",MIN($D$4,F221+D222))</f>
        <v/>
      </c>
      <c r="D222" s="14">
        <f>IF($A222="","",F221*$B$6/12)</f>
        <v/>
      </c>
      <c r="E222" s="14">
        <f>IF($A222="","",C222-D222)</f>
        <v/>
      </c>
      <c r="F222" s="14">
        <f>IF($A222="","",F221-E222)</f>
        <v/>
      </c>
    </row>
    <row r="223">
      <c r="A223" s="12">
        <f>IF(203&gt;$B$5*12,"",203)</f>
        <v/>
      </c>
      <c r="B223" s="13">
        <f>IF($A223="","",EDATE($B$7,203))</f>
        <v/>
      </c>
      <c r="C223" s="14">
        <f>IF($A223="","",MIN($D$4,F222+D223))</f>
        <v/>
      </c>
      <c r="D223" s="14">
        <f>IF($A223="","",F222*$B$6/12)</f>
        <v/>
      </c>
      <c r="E223" s="14">
        <f>IF($A223="","",C223-D223)</f>
        <v/>
      </c>
      <c r="F223" s="14">
        <f>IF($A223="","",F222-E223)</f>
        <v/>
      </c>
    </row>
    <row r="224">
      <c r="A224" s="12">
        <f>IF(204&gt;$B$5*12,"",204)</f>
        <v/>
      </c>
      <c r="B224" s="13">
        <f>IF($A224="","",EDATE($B$7,204))</f>
        <v/>
      </c>
      <c r="C224" s="14">
        <f>IF($A224="","",MIN($D$4,F223+D224))</f>
        <v/>
      </c>
      <c r="D224" s="14">
        <f>IF($A224="","",F223*$B$6/12)</f>
        <v/>
      </c>
      <c r="E224" s="14">
        <f>IF($A224="","",C224-D224)</f>
        <v/>
      </c>
      <c r="F224" s="14">
        <f>IF($A224="","",F223-E224)</f>
        <v/>
      </c>
    </row>
    <row r="225">
      <c r="A225" s="12">
        <f>IF(205&gt;$B$5*12,"",205)</f>
        <v/>
      </c>
      <c r="B225" s="13">
        <f>IF($A225="","",EDATE($B$7,205))</f>
        <v/>
      </c>
      <c r="C225" s="14">
        <f>IF($A225="","",MIN($D$4,F224+D225))</f>
        <v/>
      </c>
      <c r="D225" s="14">
        <f>IF($A225="","",F224*$B$6/12)</f>
        <v/>
      </c>
      <c r="E225" s="14">
        <f>IF($A225="","",C225-D225)</f>
        <v/>
      </c>
      <c r="F225" s="14">
        <f>IF($A225="","",F224-E225)</f>
        <v/>
      </c>
    </row>
    <row r="226">
      <c r="A226" s="12">
        <f>IF(206&gt;$B$5*12,"",206)</f>
        <v/>
      </c>
      <c r="B226" s="13">
        <f>IF($A226="","",EDATE($B$7,206))</f>
        <v/>
      </c>
      <c r="C226" s="14">
        <f>IF($A226="","",MIN($D$4,F225+D226))</f>
        <v/>
      </c>
      <c r="D226" s="14">
        <f>IF($A226="","",F225*$B$6/12)</f>
        <v/>
      </c>
      <c r="E226" s="14">
        <f>IF($A226="","",C226-D226)</f>
        <v/>
      </c>
      <c r="F226" s="14">
        <f>IF($A226="","",F225-E226)</f>
        <v/>
      </c>
    </row>
    <row r="227">
      <c r="A227" s="12">
        <f>IF(207&gt;$B$5*12,"",207)</f>
        <v/>
      </c>
      <c r="B227" s="13">
        <f>IF($A227="","",EDATE($B$7,207))</f>
        <v/>
      </c>
      <c r="C227" s="14">
        <f>IF($A227="","",MIN($D$4,F226+D227))</f>
        <v/>
      </c>
      <c r="D227" s="14">
        <f>IF($A227="","",F226*$B$6/12)</f>
        <v/>
      </c>
      <c r="E227" s="14">
        <f>IF($A227="","",C227-D227)</f>
        <v/>
      </c>
      <c r="F227" s="14">
        <f>IF($A227="","",F226-E227)</f>
        <v/>
      </c>
    </row>
    <row r="228">
      <c r="A228" s="12">
        <f>IF(208&gt;$B$5*12,"",208)</f>
        <v/>
      </c>
      <c r="B228" s="13">
        <f>IF($A228="","",EDATE($B$7,208))</f>
        <v/>
      </c>
      <c r="C228" s="14">
        <f>IF($A228="","",MIN($D$4,F227+D228))</f>
        <v/>
      </c>
      <c r="D228" s="14">
        <f>IF($A228="","",F227*$B$6/12)</f>
        <v/>
      </c>
      <c r="E228" s="14">
        <f>IF($A228="","",C228-D228)</f>
        <v/>
      </c>
      <c r="F228" s="14">
        <f>IF($A228="","",F227-E228)</f>
        <v/>
      </c>
    </row>
    <row r="229">
      <c r="A229" s="12">
        <f>IF(209&gt;$B$5*12,"",209)</f>
        <v/>
      </c>
      <c r="B229" s="13">
        <f>IF($A229="","",EDATE($B$7,209))</f>
        <v/>
      </c>
      <c r="C229" s="14">
        <f>IF($A229="","",MIN($D$4,F228+D229))</f>
        <v/>
      </c>
      <c r="D229" s="14">
        <f>IF($A229="","",F228*$B$6/12)</f>
        <v/>
      </c>
      <c r="E229" s="14">
        <f>IF($A229="","",C229-D229)</f>
        <v/>
      </c>
      <c r="F229" s="14">
        <f>IF($A229="","",F228-E229)</f>
        <v/>
      </c>
    </row>
    <row r="230">
      <c r="A230" s="12">
        <f>IF(210&gt;$B$5*12,"",210)</f>
        <v/>
      </c>
      <c r="B230" s="13">
        <f>IF($A230="","",EDATE($B$7,210))</f>
        <v/>
      </c>
      <c r="C230" s="14">
        <f>IF($A230="","",MIN($D$4,F229+D230))</f>
        <v/>
      </c>
      <c r="D230" s="14">
        <f>IF($A230="","",F229*$B$6/12)</f>
        <v/>
      </c>
      <c r="E230" s="14">
        <f>IF($A230="","",C230-D230)</f>
        <v/>
      </c>
      <c r="F230" s="14">
        <f>IF($A230="","",F229-E230)</f>
        <v/>
      </c>
    </row>
    <row r="231">
      <c r="A231" s="12">
        <f>IF(211&gt;$B$5*12,"",211)</f>
        <v/>
      </c>
      <c r="B231" s="13">
        <f>IF($A231="","",EDATE($B$7,211))</f>
        <v/>
      </c>
      <c r="C231" s="14">
        <f>IF($A231="","",MIN($D$4,F230+D231))</f>
        <v/>
      </c>
      <c r="D231" s="14">
        <f>IF($A231="","",F230*$B$6/12)</f>
        <v/>
      </c>
      <c r="E231" s="14">
        <f>IF($A231="","",C231-D231)</f>
        <v/>
      </c>
      <c r="F231" s="14">
        <f>IF($A231="","",F230-E231)</f>
        <v/>
      </c>
    </row>
    <row r="232">
      <c r="A232" s="12">
        <f>IF(212&gt;$B$5*12,"",212)</f>
        <v/>
      </c>
      <c r="B232" s="13">
        <f>IF($A232="","",EDATE($B$7,212))</f>
        <v/>
      </c>
      <c r="C232" s="14">
        <f>IF($A232="","",MIN($D$4,F231+D232))</f>
        <v/>
      </c>
      <c r="D232" s="14">
        <f>IF($A232="","",F231*$B$6/12)</f>
        <v/>
      </c>
      <c r="E232" s="14">
        <f>IF($A232="","",C232-D232)</f>
        <v/>
      </c>
      <c r="F232" s="14">
        <f>IF($A232="","",F231-E232)</f>
        <v/>
      </c>
    </row>
    <row r="233">
      <c r="A233" s="12">
        <f>IF(213&gt;$B$5*12,"",213)</f>
        <v/>
      </c>
      <c r="B233" s="13">
        <f>IF($A233="","",EDATE($B$7,213))</f>
        <v/>
      </c>
      <c r="C233" s="14">
        <f>IF($A233="","",MIN($D$4,F232+D233))</f>
        <v/>
      </c>
      <c r="D233" s="14">
        <f>IF($A233="","",F232*$B$6/12)</f>
        <v/>
      </c>
      <c r="E233" s="14">
        <f>IF($A233="","",C233-D233)</f>
        <v/>
      </c>
      <c r="F233" s="14">
        <f>IF($A233="","",F232-E233)</f>
        <v/>
      </c>
    </row>
    <row r="234">
      <c r="A234" s="12">
        <f>IF(214&gt;$B$5*12,"",214)</f>
        <v/>
      </c>
      <c r="B234" s="13">
        <f>IF($A234="","",EDATE($B$7,214))</f>
        <v/>
      </c>
      <c r="C234" s="14">
        <f>IF($A234="","",MIN($D$4,F233+D234))</f>
        <v/>
      </c>
      <c r="D234" s="14">
        <f>IF($A234="","",F233*$B$6/12)</f>
        <v/>
      </c>
      <c r="E234" s="14">
        <f>IF($A234="","",C234-D234)</f>
        <v/>
      </c>
      <c r="F234" s="14">
        <f>IF($A234="","",F233-E234)</f>
        <v/>
      </c>
    </row>
    <row r="235">
      <c r="A235" s="12">
        <f>IF(215&gt;$B$5*12,"",215)</f>
        <v/>
      </c>
      <c r="B235" s="13">
        <f>IF($A235="","",EDATE($B$7,215))</f>
        <v/>
      </c>
      <c r="C235" s="14">
        <f>IF($A235="","",MIN($D$4,F234+D235))</f>
        <v/>
      </c>
      <c r="D235" s="14">
        <f>IF($A235="","",F234*$B$6/12)</f>
        <v/>
      </c>
      <c r="E235" s="14">
        <f>IF($A235="","",C235-D235)</f>
        <v/>
      </c>
      <c r="F235" s="14">
        <f>IF($A235="","",F234-E235)</f>
        <v/>
      </c>
    </row>
    <row r="236">
      <c r="A236" s="12">
        <f>IF(216&gt;$B$5*12,"",216)</f>
        <v/>
      </c>
      <c r="B236" s="13">
        <f>IF($A236="","",EDATE($B$7,216))</f>
        <v/>
      </c>
      <c r="C236" s="14">
        <f>IF($A236="","",MIN($D$4,F235+D236))</f>
        <v/>
      </c>
      <c r="D236" s="14">
        <f>IF($A236="","",F235*$B$6/12)</f>
        <v/>
      </c>
      <c r="E236" s="14">
        <f>IF($A236="","",C236-D236)</f>
        <v/>
      </c>
      <c r="F236" s="14">
        <f>IF($A236="","",F235-E236)</f>
        <v/>
      </c>
    </row>
    <row r="237">
      <c r="A237" s="12">
        <f>IF(217&gt;$B$5*12,"",217)</f>
        <v/>
      </c>
      <c r="B237" s="13">
        <f>IF($A237="","",EDATE($B$7,217))</f>
        <v/>
      </c>
      <c r="C237" s="14">
        <f>IF($A237="","",MIN($D$4,F236+D237))</f>
        <v/>
      </c>
      <c r="D237" s="14">
        <f>IF($A237="","",F236*$B$6/12)</f>
        <v/>
      </c>
      <c r="E237" s="14">
        <f>IF($A237="","",C237-D237)</f>
        <v/>
      </c>
      <c r="F237" s="14">
        <f>IF($A237="","",F236-E237)</f>
        <v/>
      </c>
    </row>
    <row r="238">
      <c r="A238" s="12">
        <f>IF(218&gt;$B$5*12,"",218)</f>
        <v/>
      </c>
      <c r="B238" s="13">
        <f>IF($A238="","",EDATE($B$7,218))</f>
        <v/>
      </c>
      <c r="C238" s="14">
        <f>IF($A238="","",MIN($D$4,F237+D238))</f>
        <v/>
      </c>
      <c r="D238" s="14">
        <f>IF($A238="","",F237*$B$6/12)</f>
        <v/>
      </c>
      <c r="E238" s="14">
        <f>IF($A238="","",C238-D238)</f>
        <v/>
      </c>
      <c r="F238" s="14">
        <f>IF($A238="","",F237-E238)</f>
        <v/>
      </c>
    </row>
    <row r="239">
      <c r="A239" s="12">
        <f>IF(219&gt;$B$5*12,"",219)</f>
        <v/>
      </c>
      <c r="B239" s="13">
        <f>IF($A239="","",EDATE($B$7,219))</f>
        <v/>
      </c>
      <c r="C239" s="14">
        <f>IF($A239="","",MIN($D$4,F238+D239))</f>
        <v/>
      </c>
      <c r="D239" s="14">
        <f>IF($A239="","",F238*$B$6/12)</f>
        <v/>
      </c>
      <c r="E239" s="14">
        <f>IF($A239="","",C239-D239)</f>
        <v/>
      </c>
      <c r="F239" s="14">
        <f>IF($A239="","",F238-E239)</f>
        <v/>
      </c>
    </row>
    <row r="240">
      <c r="A240" s="12">
        <f>IF(220&gt;$B$5*12,"",220)</f>
        <v/>
      </c>
      <c r="B240" s="13">
        <f>IF($A240="","",EDATE($B$7,220))</f>
        <v/>
      </c>
      <c r="C240" s="14">
        <f>IF($A240="","",MIN($D$4,F239+D240))</f>
        <v/>
      </c>
      <c r="D240" s="14">
        <f>IF($A240="","",F239*$B$6/12)</f>
        <v/>
      </c>
      <c r="E240" s="14">
        <f>IF($A240="","",C240-D240)</f>
        <v/>
      </c>
      <c r="F240" s="14">
        <f>IF($A240="","",F239-E240)</f>
        <v/>
      </c>
    </row>
    <row r="241">
      <c r="A241" s="12">
        <f>IF(221&gt;$B$5*12,"",221)</f>
        <v/>
      </c>
      <c r="B241" s="13">
        <f>IF($A241="","",EDATE($B$7,221))</f>
        <v/>
      </c>
      <c r="C241" s="14">
        <f>IF($A241="","",MIN($D$4,F240+D241))</f>
        <v/>
      </c>
      <c r="D241" s="14">
        <f>IF($A241="","",F240*$B$6/12)</f>
        <v/>
      </c>
      <c r="E241" s="14">
        <f>IF($A241="","",C241-D241)</f>
        <v/>
      </c>
      <c r="F241" s="14">
        <f>IF($A241="","",F240-E241)</f>
        <v/>
      </c>
    </row>
    <row r="242">
      <c r="A242" s="12">
        <f>IF(222&gt;$B$5*12,"",222)</f>
        <v/>
      </c>
      <c r="B242" s="13">
        <f>IF($A242="","",EDATE($B$7,222))</f>
        <v/>
      </c>
      <c r="C242" s="14">
        <f>IF($A242="","",MIN($D$4,F241+D242))</f>
        <v/>
      </c>
      <c r="D242" s="14">
        <f>IF($A242="","",F241*$B$6/12)</f>
        <v/>
      </c>
      <c r="E242" s="14">
        <f>IF($A242="","",C242-D242)</f>
        <v/>
      </c>
      <c r="F242" s="14">
        <f>IF($A242="","",F241-E242)</f>
        <v/>
      </c>
    </row>
    <row r="243">
      <c r="A243" s="12">
        <f>IF(223&gt;$B$5*12,"",223)</f>
        <v/>
      </c>
      <c r="B243" s="13">
        <f>IF($A243="","",EDATE($B$7,223))</f>
        <v/>
      </c>
      <c r="C243" s="14">
        <f>IF($A243="","",MIN($D$4,F242+D243))</f>
        <v/>
      </c>
      <c r="D243" s="14">
        <f>IF($A243="","",F242*$B$6/12)</f>
        <v/>
      </c>
      <c r="E243" s="14">
        <f>IF($A243="","",C243-D243)</f>
        <v/>
      </c>
      <c r="F243" s="14">
        <f>IF($A243="","",F242-E243)</f>
        <v/>
      </c>
    </row>
    <row r="244">
      <c r="A244" s="12">
        <f>IF(224&gt;$B$5*12,"",224)</f>
        <v/>
      </c>
      <c r="B244" s="13">
        <f>IF($A244="","",EDATE($B$7,224))</f>
        <v/>
      </c>
      <c r="C244" s="14">
        <f>IF($A244="","",MIN($D$4,F243+D244))</f>
        <v/>
      </c>
      <c r="D244" s="14">
        <f>IF($A244="","",F243*$B$6/12)</f>
        <v/>
      </c>
      <c r="E244" s="14">
        <f>IF($A244="","",C244-D244)</f>
        <v/>
      </c>
      <c r="F244" s="14">
        <f>IF($A244="","",F243-E244)</f>
        <v/>
      </c>
    </row>
    <row r="245">
      <c r="A245" s="12">
        <f>IF(225&gt;$B$5*12,"",225)</f>
        <v/>
      </c>
      <c r="B245" s="13">
        <f>IF($A245="","",EDATE($B$7,225))</f>
        <v/>
      </c>
      <c r="C245" s="14">
        <f>IF($A245="","",MIN($D$4,F244+D245))</f>
        <v/>
      </c>
      <c r="D245" s="14">
        <f>IF($A245="","",F244*$B$6/12)</f>
        <v/>
      </c>
      <c r="E245" s="14">
        <f>IF($A245="","",C245-D245)</f>
        <v/>
      </c>
      <c r="F245" s="14">
        <f>IF($A245="","",F244-E245)</f>
        <v/>
      </c>
    </row>
    <row r="246">
      <c r="A246" s="12">
        <f>IF(226&gt;$B$5*12,"",226)</f>
        <v/>
      </c>
      <c r="B246" s="13">
        <f>IF($A246="","",EDATE($B$7,226))</f>
        <v/>
      </c>
      <c r="C246" s="14">
        <f>IF($A246="","",MIN($D$4,F245+D246))</f>
        <v/>
      </c>
      <c r="D246" s="14">
        <f>IF($A246="","",F245*$B$6/12)</f>
        <v/>
      </c>
      <c r="E246" s="14">
        <f>IF($A246="","",C246-D246)</f>
        <v/>
      </c>
      <c r="F246" s="14">
        <f>IF($A246="","",F245-E246)</f>
        <v/>
      </c>
    </row>
    <row r="247">
      <c r="A247" s="12">
        <f>IF(227&gt;$B$5*12,"",227)</f>
        <v/>
      </c>
      <c r="B247" s="13">
        <f>IF($A247="","",EDATE($B$7,227))</f>
        <v/>
      </c>
      <c r="C247" s="14">
        <f>IF($A247="","",MIN($D$4,F246+D247))</f>
        <v/>
      </c>
      <c r="D247" s="14">
        <f>IF($A247="","",F246*$B$6/12)</f>
        <v/>
      </c>
      <c r="E247" s="14">
        <f>IF($A247="","",C247-D247)</f>
        <v/>
      </c>
      <c r="F247" s="14">
        <f>IF($A247="","",F246-E247)</f>
        <v/>
      </c>
    </row>
    <row r="248">
      <c r="A248" s="12">
        <f>IF(228&gt;$B$5*12,"",228)</f>
        <v/>
      </c>
      <c r="B248" s="13">
        <f>IF($A248="","",EDATE($B$7,228))</f>
        <v/>
      </c>
      <c r="C248" s="14">
        <f>IF($A248="","",MIN($D$4,F247+D248))</f>
        <v/>
      </c>
      <c r="D248" s="14">
        <f>IF($A248="","",F247*$B$6/12)</f>
        <v/>
      </c>
      <c r="E248" s="14">
        <f>IF($A248="","",C248-D248)</f>
        <v/>
      </c>
      <c r="F248" s="14">
        <f>IF($A248="","",F247-E248)</f>
        <v/>
      </c>
    </row>
    <row r="249">
      <c r="A249" s="12">
        <f>IF(229&gt;$B$5*12,"",229)</f>
        <v/>
      </c>
      <c r="B249" s="13">
        <f>IF($A249="","",EDATE($B$7,229))</f>
        <v/>
      </c>
      <c r="C249" s="14">
        <f>IF($A249="","",MIN($D$4,F248+D249))</f>
        <v/>
      </c>
      <c r="D249" s="14">
        <f>IF($A249="","",F248*$B$6/12)</f>
        <v/>
      </c>
      <c r="E249" s="14">
        <f>IF($A249="","",C249-D249)</f>
        <v/>
      </c>
      <c r="F249" s="14">
        <f>IF($A249="","",F248-E249)</f>
        <v/>
      </c>
    </row>
    <row r="250">
      <c r="A250" s="12">
        <f>IF(230&gt;$B$5*12,"",230)</f>
        <v/>
      </c>
      <c r="B250" s="13">
        <f>IF($A250="","",EDATE($B$7,230))</f>
        <v/>
      </c>
      <c r="C250" s="14">
        <f>IF($A250="","",MIN($D$4,F249+D250))</f>
        <v/>
      </c>
      <c r="D250" s="14">
        <f>IF($A250="","",F249*$B$6/12)</f>
        <v/>
      </c>
      <c r="E250" s="14">
        <f>IF($A250="","",C250-D250)</f>
        <v/>
      </c>
      <c r="F250" s="14">
        <f>IF($A250="","",F249-E250)</f>
        <v/>
      </c>
    </row>
    <row r="251">
      <c r="A251" s="12">
        <f>IF(231&gt;$B$5*12,"",231)</f>
        <v/>
      </c>
      <c r="B251" s="13">
        <f>IF($A251="","",EDATE($B$7,231))</f>
        <v/>
      </c>
      <c r="C251" s="14">
        <f>IF($A251="","",MIN($D$4,F250+D251))</f>
        <v/>
      </c>
      <c r="D251" s="14">
        <f>IF($A251="","",F250*$B$6/12)</f>
        <v/>
      </c>
      <c r="E251" s="14">
        <f>IF($A251="","",C251-D251)</f>
        <v/>
      </c>
      <c r="F251" s="14">
        <f>IF($A251="","",F250-E251)</f>
        <v/>
      </c>
    </row>
    <row r="252">
      <c r="A252" s="12">
        <f>IF(232&gt;$B$5*12,"",232)</f>
        <v/>
      </c>
      <c r="B252" s="13">
        <f>IF($A252="","",EDATE($B$7,232))</f>
        <v/>
      </c>
      <c r="C252" s="14">
        <f>IF($A252="","",MIN($D$4,F251+D252))</f>
        <v/>
      </c>
      <c r="D252" s="14">
        <f>IF($A252="","",F251*$B$6/12)</f>
        <v/>
      </c>
      <c r="E252" s="14">
        <f>IF($A252="","",C252-D252)</f>
        <v/>
      </c>
      <c r="F252" s="14">
        <f>IF($A252="","",F251-E252)</f>
        <v/>
      </c>
    </row>
    <row r="253">
      <c r="A253" s="12">
        <f>IF(233&gt;$B$5*12,"",233)</f>
        <v/>
      </c>
      <c r="B253" s="13">
        <f>IF($A253="","",EDATE($B$7,233))</f>
        <v/>
      </c>
      <c r="C253" s="14">
        <f>IF($A253="","",MIN($D$4,F252+D253))</f>
        <v/>
      </c>
      <c r="D253" s="14">
        <f>IF($A253="","",F252*$B$6/12)</f>
        <v/>
      </c>
      <c r="E253" s="14">
        <f>IF($A253="","",C253-D253)</f>
        <v/>
      </c>
      <c r="F253" s="14">
        <f>IF($A253="","",F252-E253)</f>
        <v/>
      </c>
    </row>
    <row r="254">
      <c r="A254" s="12">
        <f>IF(234&gt;$B$5*12,"",234)</f>
        <v/>
      </c>
      <c r="B254" s="13">
        <f>IF($A254="","",EDATE($B$7,234))</f>
        <v/>
      </c>
      <c r="C254" s="14">
        <f>IF($A254="","",MIN($D$4,F253+D254))</f>
        <v/>
      </c>
      <c r="D254" s="14">
        <f>IF($A254="","",F253*$B$6/12)</f>
        <v/>
      </c>
      <c r="E254" s="14">
        <f>IF($A254="","",C254-D254)</f>
        <v/>
      </c>
      <c r="F254" s="14">
        <f>IF($A254="","",F253-E254)</f>
        <v/>
      </c>
    </row>
    <row r="255">
      <c r="A255" s="12">
        <f>IF(235&gt;$B$5*12,"",235)</f>
        <v/>
      </c>
      <c r="B255" s="13">
        <f>IF($A255="","",EDATE($B$7,235))</f>
        <v/>
      </c>
      <c r="C255" s="14">
        <f>IF($A255="","",MIN($D$4,F254+D255))</f>
        <v/>
      </c>
      <c r="D255" s="14">
        <f>IF($A255="","",F254*$B$6/12)</f>
        <v/>
      </c>
      <c r="E255" s="14">
        <f>IF($A255="","",C255-D255)</f>
        <v/>
      </c>
      <c r="F255" s="14">
        <f>IF($A255="","",F254-E255)</f>
        <v/>
      </c>
    </row>
    <row r="256">
      <c r="A256" s="12">
        <f>IF(236&gt;$B$5*12,"",236)</f>
        <v/>
      </c>
      <c r="B256" s="13">
        <f>IF($A256="","",EDATE($B$7,236))</f>
        <v/>
      </c>
      <c r="C256" s="14">
        <f>IF($A256="","",MIN($D$4,F255+D256))</f>
        <v/>
      </c>
      <c r="D256" s="14">
        <f>IF($A256="","",F255*$B$6/12)</f>
        <v/>
      </c>
      <c r="E256" s="14">
        <f>IF($A256="","",C256-D256)</f>
        <v/>
      </c>
      <c r="F256" s="14">
        <f>IF($A256="","",F255-E256)</f>
        <v/>
      </c>
    </row>
    <row r="257">
      <c r="A257" s="12">
        <f>IF(237&gt;$B$5*12,"",237)</f>
        <v/>
      </c>
      <c r="B257" s="13">
        <f>IF($A257="","",EDATE($B$7,237))</f>
        <v/>
      </c>
      <c r="C257" s="14">
        <f>IF($A257="","",MIN($D$4,F256+D257))</f>
        <v/>
      </c>
      <c r="D257" s="14">
        <f>IF($A257="","",F256*$B$6/12)</f>
        <v/>
      </c>
      <c r="E257" s="14">
        <f>IF($A257="","",C257-D257)</f>
        <v/>
      </c>
      <c r="F257" s="14">
        <f>IF($A257="","",F256-E257)</f>
        <v/>
      </c>
    </row>
    <row r="258">
      <c r="A258" s="12">
        <f>IF(238&gt;$B$5*12,"",238)</f>
        <v/>
      </c>
      <c r="B258" s="13">
        <f>IF($A258="","",EDATE($B$7,238))</f>
        <v/>
      </c>
      <c r="C258" s="14">
        <f>IF($A258="","",MIN($D$4,F257+D258))</f>
        <v/>
      </c>
      <c r="D258" s="14">
        <f>IF($A258="","",F257*$B$6/12)</f>
        <v/>
      </c>
      <c r="E258" s="14">
        <f>IF($A258="","",C258-D258)</f>
        <v/>
      </c>
      <c r="F258" s="14">
        <f>IF($A258="","",F257-E258)</f>
        <v/>
      </c>
    </row>
    <row r="259">
      <c r="A259" s="12">
        <f>IF(239&gt;$B$5*12,"",239)</f>
        <v/>
      </c>
      <c r="B259" s="13">
        <f>IF($A259="","",EDATE($B$7,239))</f>
        <v/>
      </c>
      <c r="C259" s="14">
        <f>IF($A259="","",MIN($D$4,F258+D259))</f>
        <v/>
      </c>
      <c r="D259" s="14">
        <f>IF($A259="","",F258*$B$6/12)</f>
        <v/>
      </c>
      <c r="E259" s="14">
        <f>IF($A259="","",C259-D259)</f>
        <v/>
      </c>
      <c r="F259" s="14">
        <f>IF($A259="","",F258-E259)</f>
        <v/>
      </c>
    </row>
    <row r="260">
      <c r="A260" s="12">
        <f>IF(240&gt;$B$5*12,"",240)</f>
        <v/>
      </c>
      <c r="B260" s="13">
        <f>IF($A260="","",EDATE($B$7,240))</f>
        <v/>
      </c>
      <c r="C260" s="14">
        <f>IF($A260="","",MIN($D$4,F259+D260))</f>
        <v/>
      </c>
      <c r="D260" s="14">
        <f>IF($A260="","",F259*$B$6/12)</f>
        <v/>
      </c>
      <c r="E260" s="14">
        <f>IF($A260="","",C260-D260)</f>
        <v/>
      </c>
      <c r="F260" s="14">
        <f>IF($A260="","",F259-E260)</f>
        <v/>
      </c>
    </row>
    <row r="261">
      <c r="A261" s="12">
        <f>IF(241&gt;$B$5*12,"",241)</f>
        <v/>
      </c>
      <c r="B261" s="13">
        <f>IF($A261="","",EDATE($B$7,241))</f>
        <v/>
      </c>
      <c r="C261" s="14">
        <f>IF($A261="","",MIN($D$4,F260+D261))</f>
        <v/>
      </c>
      <c r="D261" s="14">
        <f>IF($A261="","",F260*$B$6/12)</f>
        <v/>
      </c>
      <c r="E261" s="14">
        <f>IF($A261="","",C261-D261)</f>
        <v/>
      </c>
      <c r="F261" s="14">
        <f>IF($A261="","",F260-E261)</f>
        <v/>
      </c>
    </row>
    <row r="262">
      <c r="A262" s="12">
        <f>IF(242&gt;$B$5*12,"",242)</f>
        <v/>
      </c>
      <c r="B262" s="13">
        <f>IF($A262="","",EDATE($B$7,242))</f>
        <v/>
      </c>
      <c r="C262" s="14">
        <f>IF($A262="","",MIN($D$4,F261+D262))</f>
        <v/>
      </c>
      <c r="D262" s="14">
        <f>IF($A262="","",F261*$B$6/12)</f>
        <v/>
      </c>
      <c r="E262" s="14">
        <f>IF($A262="","",C262-D262)</f>
        <v/>
      </c>
      <c r="F262" s="14">
        <f>IF($A262="","",F261-E262)</f>
        <v/>
      </c>
    </row>
    <row r="263">
      <c r="A263" s="12">
        <f>IF(243&gt;$B$5*12,"",243)</f>
        <v/>
      </c>
      <c r="B263" s="13">
        <f>IF($A263="","",EDATE($B$7,243))</f>
        <v/>
      </c>
      <c r="C263" s="14">
        <f>IF($A263="","",MIN($D$4,F262+D263))</f>
        <v/>
      </c>
      <c r="D263" s="14">
        <f>IF($A263="","",F262*$B$6/12)</f>
        <v/>
      </c>
      <c r="E263" s="14">
        <f>IF($A263="","",C263-D263)</f>
        <v/>
      </c>
      <c r="F263" s="14">
        <f>IF($A263="","",F262-E263)</f>
        <v/>
      </c>
    </row>
    <row r="264">
      <c r="A264" s="12">
        <f>IF(244&gt;$B$5*12,"",244)</f>
        <v/>
      </c>
      <c r="B264" s="13">
        <f>IF($A264="","",EDATE($B$7,244))</f>
        <v/>
      </c>
      <c r="C264" s="14">
        <f>IF($A264="","",MIN($D$4,F263+D264))</f>
        <v/>
      </c>
      <c r="D264" s="14">
        <f>IF($A264="","",F263*$B$6/12)</f>
        <v/>
      </c>
      <c r="E264" s="14">
        <f>IF($A264="","",C264-D264)</f>
        <v/>
      </c>
      <c r="F264" s="14">
        <f>IF($A264="","",F263-E264)</f>
        <v/>
      </c>
    </row>
    <row r="265">
      <c r="A265" s="12">
        <f>IF(245&gt;$B$5*12,"",245)</f>
        <v/>
      </c>
      <c r="B265" s="13">
        <f>IF($A265="","",EDATE($B$7,245))</f>
        <v/>
      </c>
      <c r="C265" s="14">
        <f>IF($A265="","",MIN($D$4,F264+D265))</f>
        <v/>
      </c>
      <c r="D265" s="14">
        <f>IF($A265="","",F264*$B$6/12)</f>
        <v/>
      </c>
      <c r="E265" s="14">
        <f>IF($A265="","",C265-D265)</f>
        <v/>
      </c>
      <c r="F265" s="14">
        <f>IF($A265="","",F264-E265)</f>
        <v/>
      </c>
    </row>
    <row r="266">
      <c r="A266" s="12">
        <f>IF(246&gt;$B$5*12,"",246)</f>
        <v/>
      </c>
      <c r="B266" s="13">
        <f>IF($A266="","",EDATE($B$7,246))</f>
        <v/>
      </c>
      <c r="C266" s="14">
        <f>IF($A266="","",MIN($D$4,F265+D266))</f>
        <v/>
      </c>
      <c r="D266" s="14">
        <f>IF($A266="","",F265*$B$6/12)</f>
        <v/>
      </c>
      <c r="E266" s="14">
        <f>IF($A266="","",C266-D266)</f>
        <v/>
      </c>
      <c r="F266" s="14">
        <f>IF($A266="","",F265-E266)</f>
        <v/>
      </c>
    </row>
    <row r="267">
      <c r="A267" s="12">
        <f>IF(247&gt;$B$5*12,"",247)</f>
        <v/>
      </c>
      <c r="B267" s="13">
        <f>IF($A267="","",EDATE($B$7,247))</f>
        <v/>
      </c>
      <c r="C267" s="14">
        <f>IF($A267="","",MIN($D$4,F266+D267))</f>
        <v/>
      </c>
      <c r="D267" s="14">
        <f>IF($A267="","",F266*$B$6/12)</f>
        <v/>
      </c>
      <c r="E267" s="14">
        <f>IF($A267="","",C267-D267)</f>
        <v/>
      </c>
      <c r="F267" s="14">
        <f>IF($A267="","",F266-E267)</f>
        <v/>
      </c>
    </row>
    <row r="268">
      <c r="A268" s="12">
        <f>IF(248&gt;$B$5*12,"",248)</f>
        <v/>
      </c>
      <c r="B268" s="13">
        <f>IF($A268="","",EDATE($B$7,248))</f>
        <v/>
      </c>
      <c r="C268" s="14">
        <f>IF($A268="","",MIN($D$4,F267+D268))</f>
        <v/>
      </c>
      <c r="D268" s="14">
        <f>IF($A268="","",F267*$B$6/12)</f>
        <v/>
      </c>
      <c r="E268" s="14">
        <f>IF($A268="","",C268-D268)</f>
        <v/>
      </c>
      <c r="F268" s="14">
        <f>IF($A268="","",F267-E268)</f>
        <v/>
      </c>
    </row>
    <row r="269">
      <c r="A269" s="12">
        <f>IF(249&gt;$B$5*12,"",249)</f>
        <v/>
      </c>
      <c r="B269" s="13">
        <f>IF($A269="","",EDATE($B$7,249))</f>
        <v/>
      </c>
      <c r="C269" s="14">
        <f>IF($A269="","",MIN($D$4,F268+D269))</f>
        <v/>
      </c>
      <c r="D269" s="14">
        <f>IF($A269="","",F268*$B$6/12)</f>
        <v/>
      </c>
      <c r="E269" s="14">
        <f>IF($A269="","",C269-D269)</f>
        <v/>
      </c>
      <c r="F269" s="14">
        <f>IF($A269="","",F268-E269)</f>
        <v/>
      </c>
    </row>
    <row r="270">
      <c r="A270" s="12">
        <f>IF(250&gt;$B$5*12,"",250)</f>
        <v/>
      </c>
      <c r="B270" s="13">
        <f>IF($A270="","",EDATE($B$7,250))</f>
        <v/>
      </c>
      <c r="C270" s="14">
        <f>IF($A270="","",MIN($D$4,F269+D270))</f>
        <v/>
      </c>
      <c r="D270" s="14">
        <f>IF($A270="","",F269*$B$6/12)</f>
        <v/>
      </c>
      <c r="E270" s="14">
        <f>IF($A270="","",C270-D270)</f>
        <v/>
      </c>
      <c r="F270" s="14">
        <f>IF($A270="","",F269-E270)</f>
        <v/>
      </c>
    </row>
    <row r="271">
      <c r="A271" s="12">
        <f>IF(251&gt;$B$5*12,"",251)</f>
        <v/>
      </c>
      <c r="B271" s="13">
        <f>IF($A271="","",EDATE($B$7,251))</f>
        <v/>
      </c>
      <c r="C271" s="14">
        <f>IF($A271="","",MIN($D$4,F270+D271))</f>
        <v/>
      </c>
      <c r="D271" s="14">
        <f>IF($A271="","",F270*$B$6/12)</f>
        <v/>
      </c>
      <c r="E271" s="14">
        <f>IF($A271="","",C271-D271)</f>
        <v/>
      </c>
      <c r="F271" s="14">
        <f>IF($A271="","",F270-E271)</f>
        <v/>
      </c>
    </row>
    <row r="272">
      <c r="A272" s="12">
        <f>IF(252&gt;$B$5*12,"",252)</f>
        <v/>
      </c>
      <c r="B272" s="13">
        <f>IF($A272="","",EDATE($B$7,252))</f>
        <v/>
      </c>
      <c r="C272" s="14">
        <f>IF($A272="","",MIN($D$4,F271+D272))</f>
        <v/>
      </c>
      <c r="D272" s="14">
        <f>IF($A272="","",F271*$B$6/12)</f>
        <v/>
      </c>
      <c r="E272" s="14">
        <f>IF($A272="","",C272-D272)</f>
        <v/>
      </c>
      <c r="F272" s="14">
        <f>IF($A272="","",F271-E272)</f>
        <v/>
      </c>
    </row>
    <row r="273">
      <c r="A273" s="12">
        <f>IF(253&gt;$B$5*12,"",253)</f>
        <v/>
      </c>
      <c r="B273" s="13">
        <f>IF($A273="","",EDATE($B$7,253))</f>
        <v/>
      </c>
      <c r="C273" s="14">
        <f>IF($A273="","",MIN($D$4,F272+D273))</f>
        <v/>
      </c>
      <c r="D273" s="14">
        <f>IF($A273="","",F272*$B$6/12)</f>
        <v/>
      </c>
      <c r="E273" s="14">
        <f>IF($A273="","",C273-D273)</f>
        <v/>
      </c>
      <c r="F273" s="14">
        <f>IF($A273="","",F272-E273)</f>
        <v/>
      </c>
    </row>
    <row r="274">
      <c r="A274" s="12">
        <f>IF(254&gt;$B$5*12,"",254)</f>
        <v/>
      </c>
      <c r="B274" s="13">
        <f>IF($A274="","",EDATE($B$7,254))</f>
        <v/>
      </c>
      <c r="C274" s="14">
        <f>IF($A274="","",MIN($D$4,F273+D274))</f>
        <v/>
      </c>
      <c r="D274" s="14">
        <f>IF($A274="","",F273*$B$6/12)</f>
        <v/>
      </c>
      <c r="E274" s="14">
        <f>IF($A274="","",C274-D274)</f>
        <v/>
      </c>
      <c r="F274" s="14">
        <f>IF($A274="","",F273-E274)</f>
        <v/>
      </c>
    </row>
    <row r="275">
      <c r="A275" s="12">
        <f>IF(255&gt;$B$5*12,"",255)</f>
        <v/>
      </c>
      <c r="B275" s="13">
        <f>IF($A275="","",EDATE($B$7,255))</f>
        <v/>
      </c>
      <c r="C275" s="14">
        <f>IF($A275="","",MIN($D$4,F274+D275))</f>
        <v/>
      </c>
      <c r="D275" s="14">
        <f>IF($A275="","",F274*$B$6/12)</f>
        <v/>
      </c>
      <c r="E275" s="14">
        <f>IF($A275="","",C275-D275)</f>
        <v/>
      </c>
      <c r="F275" s="14">
        <f>IF($A275="","",F274-E275)</f>
        <v/>
      </c>
    </row>
    <row r="276">
      <c r="A276" s="12">
        <f>IF(256&gt;$B$5*12,"",256)</f>
        <v/>
      </c>
      <c r="B276" s="13">
        <f>IF($A276="","",EDATE($B$7,256))</f>
        <v/>
      </c>
      <c r="C276" s="14">
        <f>IF($A276="","",MIN($D$4,F275+D276))</f>
        <v/>
      </c>
      <c r="D276" s="14">
        <f>IF($A276="","",F275*$B$6/12)</f>
        <v/>
      </c>
      <c r="E276" s="14">
        <f>IF($A276="","",C276-D276)</f>
        <v/>
      </c>
      <c r="F276" s="14">
        <f>IF($A276="","",F275-E276)</f>
        <v/>
      </c>
    </row>
    <row r="277">
      <c r="A277" s="12">
        <f>IF(257&gt;$B$5*12,"",257)</f>
        <v/>
      </c>
      <c r="B277" s="13">
        <f>IF($A277="","",EDATE($B$7,257))</f>
        <v/>
      </c>
      <c r="C277" s="14">
        <f>IF($A277="","",MIN($D$4,F276+D277))</f>
        <v/>
      </c>
      <c r="D277" s="14">
        <f>IF($A277="","",F276*$B$6/12)</f>
        <v/>
      </c>
      <c r="E277" s="14">
        <f>IF($A277="","",C277-D277)</f>
        <v/>
      </c>
      <c r="F277" s="14">
        <f>IF($A277="","",F276-E277)</f>
        <v/>
      </c>
    </row>
    <row r="278">
      <c r="A278" s="12">
        <f>IF(258&gt;$B$5*12,"",258)</f>
        <v/>
      </c>
      <c r="B278" s="13">
        <f>IF($A278="","",EDATE($B$7,258))</f>
        <v/>
      </c>
      <c r="C278" s="14">
        <f>IF($A278="","",MIN($D$4,F277+D278))</f>
        <v/>
      </c>
      <c r="D278" s="14">
        <f>IF($A278="","",F277*$B$6/12)</f>
        <v/>
      </c>
      <c r="E278" s="14">
        <f>IF($A278="","",C278-D278)</f>
        <v/>
      </c>
      <c r="F278" s="14">
        <f>IF($A278="","",F277-E278)</f>
        <v/>
      </c>
    </row>
    <row r="279">
      <c r="A279" s="12">
        <f>IF(259&gt;$B$5*12,"",259)</f>
        <v/>
      </c>
      <c r="B279" s="13">
        <f>IF($A279="","",EDATE($B$7,259))</f>
        <v/>
      </c>
      <c r="C279" s="14">
        <f>IF($A279="","",MIN($D$4,F278+D279))</f>
        <v/>
      </c>
      <c r="D279" s="14">
        <f>IF($A279="","",F278*$B$6/12)</f>
        <v/>
      </c>
      <c r="E279" s="14">
        <f>IF($A279="","",C279-D279)</f>
        <v/>
      </c>
      <c r="F279" s="14">
        <f>IF($A279="","",F278-E279)</f>
        <v/>
      </c>
    </row>
    <row r="280">
      <c r="A280" s="12">
        <f>IF(260&gt;$B$5*12,"",260)</f>
        <v/>
      </c>
      <c r="B280" s="13">
        <f>IF($A280="","",EDATE($B$7,260))</f>
        <v/>
      </c>
      <c r="C280" s="14">
        <f>IF($A280="","",MIN($D$4,F279+D280))</f>
        <v/>
      </c>
      <c r="D280" s="14">
        <f>IF($A280="","",F279*$B$6/12)</f>
        <v/>
      </c>
      <c r="E280" s="14">
        <f>IF($A280="","",C280-D280)</f>
        <v/>
      </c>
      <c r="F280" s="14">
        <f>IF($A280="","",F279-E280)</f>
        <v/>
      </c>
    </row>
    <row r="281">
      <c r="A281" s="12">
        <f>IF(261&gt;$B$5*12,"",261)</f>
        <v/>
      </c>
      <c r="B281" s="13">
        <f>IF($A281="","",EDATE($B$7,261))</f>
        <v/>
      </c>
      <c r="C281" s="14">
        <f>IF($A281="","",MIN($D$4,F280+D281))</f>
        <v/>
      </c>
      <c r="D281" s="14">
        <f>IF($A281="","",F280*$B$6/12)</f>
        <v/>
      </c>
      <c r="E281" s="14">
        <f>IF($A281="","",C281-D281)</f>
        <v/>
      </c>
      <c r="F281" s="14">
        <f>IF($A281="","",F280-E281)</f>
        <v/>
      </c>
    </row>
    <row r="282">
      <c r="A282" s="12">
        <f>IF(262&gt;$B$5*12,"",262)</f>
        <v/>
      </c>
      <c r="B282" s="13">
        <f>IF($A282="","",EDATE($B$7,262))</f>
        <v/>
      </c>
      <c r="C282" s="14">
        <f>IF($A282="","",MIN($D$4,F281+D282))</f>
        <v/>
      </c>
      <c r="D282" s="14">
        <f>IF($A282="","",F281*$B$6/12)</f>
        <v/>
      </c>
      <c r="E282" s="14">
        <f>IF($A282="","",C282-D282)</f>
        <v/>
      </c>
      <c r="F282" s="14">
        <f>IF($A282="","",F281-E282)</f>
        <v/>
      </c>
    </row>
    <row r="283">
      <c r="A283" s="12">
        <f>IF(263&gt;$B$5*12,"",263)</f>
        <v/>
      </c>
      <c r="B283" s="13">
        <f>IF($A283="","",EDATE($B$7,263))</f>
        <v/>
      </c>
      <c r="C283" s="14">
        <f>IF($A283="","",MIN($D$4,F282+D283))</f>
        <v/>
      </c>
      <c r="D283" s="14">
        <f>IF($A283="","",F282*$B$6/12)</f>
        <v/>
      </c>
      <c r="E283" s="14">
        <f>IF($A283="","",C283-D283)</f>
        <v/>
      </c>
      <c r="F283" s="14">
        <f>IF($A283="","",F282-E283)</f>
        <v/>
      </c>
    </row>
    <row r="284">
      <c r="A284" s="12">
        <f>IF(264&gt;$B$5*12,"",264)</f>
        <v/>
      </c>
      <c r="B284" s="13">
        <f>IF($A284="","",EDATE($B$7,264))</f>
        <v/>
      </c>
      <c r="C284" s="14">
        <f>IF($A284="","",MIN($D$4,F283+D284))</f>
        <v/>
      </c>
      <c r="D284" s="14">
        <f>IF($A284="","",F283*$B$6/12)</f>
        <v/>
      </c>
      <c r="E284" s="14">
        <f>IF($A284="","",C284-D284)</f>
        <v/>
      </c>
      <c r="F284" s="14">
        <f>IF($A284="","",F283-E284)</f>
        <v/>
      </c>
    </row>
    <row r="285">
      <c r="A285" s="12">
        <f>IF(265&gt;$B$5*12,"",265)</f>
        <v/>
      </c>
      <c r="B285" s="13">
        <f>IF($A285="","",EDATE($B$7,265))</f>
        <v/>
      </c>
      <c r="C285" s="14">
        <f>IF($A285="","",MIN($D$4,F284+D285))</f>
        <v/>
      </c>
      <c r="D285" s="14">
        <f>IF($A285="","",F284*$B$6/12)</f>
        <v/>
      </c>
      <c r="E285" s="14">
        <f>IF($A285="","",C285-D285)</f>
        <v/>
      </c>
      <c r="F285" s="14">
        <f>IF($A285="","",F284-E285)</f>
        <v/>
      </c>
    </row>
    <row r="286">
      <c r="A286" s="12">
        <f>IF(266&gt;$B$5*12,"",266)</f>
        <v/>
      </c>
      <c r="B286" s="13">
        <f>IF($A286="","",EDATE($B$7,266))</f>
        <v/>
      </c>
      <c r="C286" s="14">
        <f>IF($A286="","",MIN($D$4,F285+D286))</f>
        <v/>
      </c>
      <c r="D286" s="14">
        <f>IF($A286="","",F285*$B$6/12)</f>
        <v/>
      </c>
      <c r="E286" s="14">
        <f>IF($A286="","",C286-D286)</f>
        <v/>
      </c>
      <c r="F286" s="14">
        <f>IF($A286="","",F285-E286)</f>
        <v/>
      </c>
    </row>
    <row r="287">
      <c r="A287" s="12">
        <f>IF(267&gt;$B$5*12,"",267)</f>
        <v/>
      </c>
      <c r="B287" s="13">
        <f>IF($A287="","",EDATE($B$7,267))</f>
        <v/>
      </c>
      <c r="C287" s="14">
        <f>IF($A287="","",MIN($D$4,F286+D287))</f>
        <v/>
      </c>
      <c r="D287" s="14">
        <f>IF($A287="","",F286*$B$6/12)</f>
        <v/>
      </c>
      <c r="E287" s="14">
        <f>IF($A287="","",C287-D287)</f>
        <v/>
      </c>
      <c r="F287" s="14">
        <f>IF($A287="","",F286-E287)</f>
        <v/>
      </c>
    </row>
    <row r="288">
      <c r="A288" s="12">
        <f>IF(268&gt;$B$5*12,"",268)</f>
        <v/>
      </c>
      <c r="B288" s="13">
        <f>IF($A288="","",EDATE($B$7,268))</f>
        <v/>
      </c>
      <c r="C288" s="14">
        <f>IF($A288="","",MIN($D$4,F287+D288))</f>
        <v/>
      </c>
      <c r="D288" s="14">
        <f>IF($A288="","",F287*$B$6/12)</f>
        <v/>
      </c>
      <c r="E288" s="14">
        <f>IF($A288="","",C288-D288)</f>
        <v/>
      </c>
      <c r="F288" s="14">
        <f>IF($A288="","",F287-E288)</f>
        <v/>
      </c>
    </row>
    <row r="289">
      <c r="A289" s="12">
        <f>IF(269&gt;$B$5*12,"",269)</f>
        <v/>
      </c>
      <c r="B289" s="13">
        <f>IF($A289="","",EDATE($B$7,269))</f>
        <v/>
      </c>
      <c r="C289" s="14">
        <f>IF($A289="","",MIN($D$4,F288+D289))</f>
        <v/>
      </c>
      <c r="D289" s="14">
        <f>IF($A289="","",F288*$B$6/12)</f>
        <v/>
      </c>
      <c r="E289" s="14">
        <f>IF($A289="","",C289-D289)</f>
        <v/>
      </c>
      <c r="F289" s="14">
        <f>IF($A289="","",F288-E289)</f>
        <v/>
      </c>
    </row>
    <row r="290">
      <c r="A290" s="12">
        <f>IF(270&gt;$B$5*12,"",270)</f>
        <v/>
      </c>
      <c r="B290" s="13">
        <f>IF($A290="","",EDATE($B$7,270))</f>
        <v/>
      </c>
      <c r="C290" s="14">
        <f>IF($A290="","",MIN($D$4,F289+D290))</f>
        <v/>
      </c>
      <c r="D290" s="14">
        <f>IF($A290="","",F289*$B$6/12)</f>
        <v/>
      </c>
      <c r="E290" s="14">
        <f>IF($A290="","",C290-D290)</f>
        <v/>
      </c>
      <c r="F290" s="14">
        <f>IF($A290="","",F289-E290)</f>
        <v/>
      </c>
    </row>
    <row r="291">
      <c r="A291" s="12">
        <f>IF(271&gt;$B$5*12,"",271)</f>
        <v/>
      </c>
      <c r="B291" s="13">
        <f>IF($A291="","",EDATE($B$7,271))</f>
        <v/>
      </c>
      <c r="C291" s="14">
        <f>IF($A291="","",MIN($D$4,F290+D291))</f>
        <v/>
      </c>
      <c r="D291" s="14">
        <f>IF($A291="","",F290*$B$6/12)</f>
        <v/>
      </c>
      <c r="E291" s="14">
        <f>IF($A291="","",C291-D291)</f>
        <v/>
      </c>
      <c r="F291" s="14">
        <f>IF($A291="","",F290-E291)</f>
        <v/>
      </c>
    </row>
    <row r="292">
      <c r="A292" s="12">
        <f>IF(272&gt;$B$5*12,"",272)</f>
        <v/>
      </c>
      <c r="B292" s="13">
        <f>IF($A292="","",EDATE($B$7,272))</f>
        <v/>
      </c>
      <c r="C292" s="14">
        <f>IF($A292="","",MIN($D$4,F291+D292))</f>
        <v/>
      </c>
      <c r="D292" s="14">
        <f>IF($A292="","",F291*$B$6/12)</f>
        <v/>
      </c>
      <c r="E292" s="14">
        <f>IF($A292="","",C292-D292)</f>
        <v/>
      </c>
      <c r="F292" s="14">
        <f>IF($A292="","",F291-E292)</f>
        <v/>
      </c>
    </row>
    <row r="293">
      <c r="A293" s="12">
        <f>IF(273&gt;$B$5*12,"",273)</f>
        <v/>
      </c>
      <c r="B293" s="13">
        <f>IF($A293="","",EDATE($B$7,273))</f>
        <v/>
      </c>
      <c r="C293" s="14">
        <f>IF($A293="","",MIN($D$4,F292+D293))</f>
        <v/>
      </c>
      <c r="D293" s="14">
        <f>IF($A293="","",F292*$B$6/12)</f>
        <v/>
      </c>
      <c r="E293" s="14">
        <f>IF($A293="","",C293-D293)</f>
        <v/>
      </c>
      <c r="F293" s="14">
        <f>IF($A293="","",F292-E293)</f>
        <v/>
      </c>
    </row>
    <row r="294">
      <c r="A294" s="12">
        <f>IF(274&gt;$B$5*12,"",274)</f>
        <v/>
      </c>
      <c r="B294" s="13">
        <f>IF($A294="","",EDATE($B$7,274))</f>
        <v/>
      </c>
      <c r="C294" s="14">
        <f>IF($A294="","",MIN($D$4,F293+D294))</f>
        <v/>
      </c>
      <c r="D294" s="14">
        <f>IF($A294="","",F293*$B$6/12)</f>
        <v/>
      </c>
      <c r="E294" s="14">
        <f>IF($A294="","",C294-D294)</f>
        <v/>
      </c>
      <c r="F294" s="14">
        <f>IF($A294="","",F293-E294)</f>
        <v/>
      </c>
    </row>
    <row r="295">
      <c r="A295" s="12">
        <f>IF(275&gt;$B$5*12,"",275)</f>
        <v/>
      </c>
      <c r="B295" s="13">
        <f>IF($A295="","",EDATE($B$7,275))</f>
        <v/>
      </c>
      <c r="C295" s="14">
        <f>IF($A295="","",MIN($D$4,F294+D295))</f>
        <v/>
      </c>
      <c r="D295" s="14">
        <f>IF($A295="","",F294*$B$6/12)</f>
        <v/>
      </c>
      <c r="E295" s="14">
        <f>IF($A295="","",C295-D295)</f>
        <v/>
      </c>
      <c r="F295" s="14">
        <f>IF($A295="","",F294-E295)</f>
        <v/>
      </c>
    </row>
    <row r="296">
      <c r="A296" s="12">
        <f>IF(276&gt;$B$5*12,"",276)</f>
        <v/>
      </c>
      <c r="B296" s="13">
        <f>IF($A296="","",EDATE($B$7,276))</f>
        <v/>
      </c>
      <c r="C296" s="14">
        <f>IF($A296="","",MIN($D$4,F295+D296))</f>
        <v/>
      </c>
      <c r="D296" s="14">
        <f>IF($A296="","",F295*$B$6/12)</f>
        <v/>
      </c>
      <c r="E296" s="14">
        <f>IF($A296="","",C296-D296)</f>
        <v/>
      </c>
      <c r="F296" s="14">
        <f>IF($A296="","",F295-E296)</f>
        <v/>
      </c>
    </row>
    <row r="297">
      <c r="A297" s="12">
        <f>IF(277&gt;$B$5*12,"",277)</f>
        <v/>
      </c>
      <c r="B297" s="13">
        <f>IF($A297="","",EDATE($B$7,277))</f>
        <v/>
      </c>
      <c r="C297" s="14">
        <f>IF($A297="","",MIN($D$4,F296+D297))</f>
        <v/>
      </c>
      <c r="D297" s="14">
        <f>IF($A297="","",F296*$B$6/12)</f>
        <v/>
      </c>
      <c r="E297" s="14">
        <f>IF($A297="","",C297-D297)</f>
        <v/>
      </c>
      <c r="F297" s="14">
        <f>IF($A297="","",F296-E297)</f>
        <v/>
      </c>
    </row>
    <row r="298">
      <c r="A298" s="12">
        <f>IF(278&gt;$B$5*12,"",278)</f>
        <v/>
      </c>
      <c r="B298" s="13">
        <f>IF($A298="","",EDATE($B$7,278))</f>
        <v/>
      </c>
      <c r="C298" s="14">
        <f>IF($A298="","",MIN($D$4,F297+D298))</f>
        <v/>
      </c>
      <c r="D298" s="14">
        <f>IF($A298="","",F297*$B$6/12)</f>
        <v/>
      </c>
      <c r="E298" s="14">
        <f>IF($A298="","",C298-D298)</f>
        <v/>
      </c>
      <c r="F298" s="14">
        <f>IF($A298="","",F297-E298)</f>
        <v/>
      </c>
    </row>
    <row r="299">
      <c r="A299" s="12">
        <f>IF(279&gt;$B$5*12,"",279)</f>
        <v/>
      </c>
      <c r="B299" s="13">
        <f>IF($A299="","",EDATE($B$7,279))</f>
        <v/>
      </c>
      <c r="C299" s="14">
        <f>IF($A299="","",MIN($D$4,F298+D299))</f>
        <v/>
      </c>
      <c r="D299" s="14">
        <f>IF($A299="","",F298*$B$6/12)</f>
        <v/>
      </c>
      <c r="E299" s="14">
        <f>IF($A299="","",C299-D299)</f>
        <v/>
      </c>
      <c r="F299" s="14">
        <f>IF($A299="","",F298-E299)</f>
        <v/>
      </c>
    </row>
    <row r="300">
      <c r="A300" s="12">
        <f>IF(280&gt;$B$5*12,"",280)</f>
        <v/>
      </c>
      <c r="B300" s="13">
        <f>IF($A300="","",EDATE($B$7,280))</f>
        <v/>
      </c>
      <c r="C300" s="14">
        <f>IF($A300="","",MIN($D$4,F299+D300))</f>
        <v/>
      </c>
      <c r="D300" s="14">
        <f>IF($A300="","",F299*$B$6/12)</f>
        <v/>
      </c>
      <c r="E300" s="14">
        <f>IF($A300="","",C300-D300)</f>
        <v/>
      </c>
      <c r="F300" s="14">
        <f>IF($A300="","",F299-E300)</f>
        <v/>
      </c>
    </row>
    <row r="301">
      <c r="A301" s="12">
        <f>IF(281&gt;$B$5*12,"",281)</f>
        <v/>
      </c>
      <c r="B301" s="13">
        <f>IF($A301="","",EDATE($B$7,281))</f>
        <v/>
      </c>
      <c r="C301" s="14">
        <f>IF($A301="","",MIN($D$4,F300+D301))</f>
        <v/>
      </c>
      <c r="D301" s="14">
        <f>IF($A301="","",F300*$B$6/12)</f>
        <v/>
      </c>
      <c r="E301" s="14">
        <f>IF($A301="","",C301-D301)</f>
        <v/>
      </c>
      <c r="F301" s="14">
        <f>IF($A301="","",F300-E301)</f>
        <v/>
      </c>
    </row>
    <row r="302">
      <c r="A302" s="12">
        <f>IF(282&gt;$B$5*12,"",282)</f>
        <v/>
      </c>
      <c r="B302" s="13">
        <f>IF($A302="","",EDATE($B$7,282))</f>
        <v/>
      </c>
      <c r="C302" s="14">
        <f>IF($A302="","",MIN($D$4,F301+D302))</f>
        <v/>
      </c>
      <c r="D302" s="14">
        <f>IF($A302="","",F301*$B$6/12)</f>
        <v/>
      </c>
      <c r="E302" s="14">
        <f>IF($A302="","",C302-D302)</f>
        <v/>
      </c>
      <c r="F302" s="14">
        <f>IF($A302="","",F301-E302)</f>
        <v/>
      </c>
    </row>
    <row r="303">
      <c r="A303" s="12">
        <f>IF(283&gt;$B$5*12,"",283)</f>
        <v/>
      </c>
      <c r="B303" s="13">
        <f>IF($A303="","",EDATE($B$7,283))</f>
        <v/>
      </c>
      <c r="C303" s="14">
        <f>IF($A303="","",MIN($D$4,F302+D303))</f>
        <v/>
      </c>
      <c r="D303" s="14">
        <f>IF($A303="","",F302*$B$6/12)</f>
        <v/>
      </c>
      <c r="E303" s="14">
        <f>IF($A303="","",C303-D303)</f>
        <v/>
      </c>
      <c r="F303" s="14">
        <f>IF($A303="","",F302-E303)</f>
        <v/>
      </c>
    </row>
    <row r="304">
      <c r="A304" s="12">
        <f>IF(284&gt;$B$5*12,"",284)</f>
        <v/>
      </c>
      <c r="B304" s="13">
        <f>IF($A304="","",EDATE($B$7,284))</f>
        <v/>
      </c>
      <c r="C304" s="14">
        <f>IF($A304="","",MIN($D$4,F303+D304))</f>
        <v/>
      </c>
      <c r="D304" s="14">
        <f>IF($A304="","",F303*$B$6/12)</f>
        <v/>
      </c>
      <c r="E304" s="14">
        <f>IF($A304="","",C304-D304)</f>
        <v/>
      </c>
      <c r="F304" s="14">
        <f>IF($A304="","",F303-E304)</f>
        <v/>
      </c>
    </row>
    <row r="305">
      <c r="A305" s="12">
        <f>IF(285&gt;$B$5*12,"",285)</f>
        <v/>
      </c>
      <c r="B305" s="13">
        <f>IF($A305="","",EDATE($B$7,285))</f>
        <v/>
      </c>
      <c r="C305" s="14">
        <f>IF($A305="","",MIN($D$4,F304+D305))</f>
        <v/>
      </c>
      <c r="D305" s="14">
        <f>IF($A305="","",F304*$B$6/12)</f>
        <v/>
      </c>
      <c r="E305" s="14">
        <f>IF($A305="","",C305-D305)</f>
        <v/>
      </c>
      <c r="F305" s="14">
        <f>IF($A305="","",F304-E305)</f>
        <v/>
      </c>
    </row>
    <row r="306">
      <c r="A306" s="12">
        <f>IF(286&gt;$B$5*12,"",286)</f>
        <v/>
      </c>
      <c r="B306" s="13">
        <f>IF($A306="","",EDATE($B$7,286))</f>
        <v/>
      </c>
      <c r="C306" s="14">
        <f>IF($A306="","",MIN($D$4,F305+D306))</f>
        <v/>
      </c>
      <c r="D306" s="14">
        <f>IF($A306="","",F305*$B$6/12)</f>
        <v/>
      </c>
      <c r="E306" s="14">
        <f>IF($A306="","",C306-D306)</f>
        <v/>
      </c>
      <c r="F306" s="14">
        <f>IF($A306="","",F305-E306)</f>
        <v/>
      </c>
    </row>
    <row r="307">
      <c r="A307" s="12">
        <f>IF(287&gt;$B$5*12,"",287)</f>
        <v/>
      </c>
      <c r="B307" s="13">
        <f>IF($A307="","",EDATE($B$7,287))</f>
        <v/>
      </c>
      <c r="C307" s="14">
        <f>IF($A307="","",MIN($D$4,F306+D307))</f>
        <v/>
      </c>
      <c r="D307" s="14">
        <f>IF($A307="","",F306*$B$6/12)</f>
        <v/>
      </c>
      <c r="E307" s="14">
        <f>IF($A307="","",C307-D307)</f>
        <v/>
      </c>
      <c r="F307" s="14">
        <f>IF($A307="","",F306-E307)</f>
        <v/>
      </c>
    </row>
    <row r="308">
      <c r="A308" s="12">
        <f>IF(288&gt;$B$5*12,"",288)</f>
        <v/>
      </c>
      <c r="B308" s="13">
        <f>IF($A308="","",EDATE($B$7,288))</f>
        <v/>
      </c>
      <c r="C308" s="14">
        <f>IF($A308="","",MIN($D$4,F307+D308))</f>
        <v/>
      </c>
      <c r="D308" s="14">
        <f>IF($A308="","",F307*$B$6/12)</f>
        <v/>
      </c>
      <c r="E308" s="14">
        <f>IF($A308="","",C308-D308)</f>
        <v/>
      </c>
      <c r="F308" s="14">
        <f>IF($A308="","",F307-E308)</f>
        <v/>
      </c>
    </row>
    <row r="309">
      <c r="A309" s="12">
        <f>IF(289&gt;$B$5*12,"",289)</f>
        <v/>
      </c>
      <c r="B309" s="13">
        <f>IF($A309="","",EDATE($B$7,289))</f>
        <v/>
      </c>
      <c r="C309" s="14">
        <f>IF($A309="","",MIN($D$4,F308+D309))</f>
        <v/>
      </c>
      <c r="D309" s="14">
        <f>IF($A309="","",F308*$B$6/12)</f>
        <v/>
      </c>
      <c r="E309" s="14">
        <f>IF($A309="","",C309-D309)</f>
        <v/>
      </c>
      <c r="F309" s="14">
        <f>IF($A309="","",F308-E309)</f>
        <v/>
      </c>
    </row>
    <row r="310">
      <c r="A310" s="12">
        <f>IF(290&gt;$B$5*12,"",290)</f>
        <v/>
      </c>
      <c r="B310" s="13">
        <f>IF($A310="","",EDATE($B$7,290))</f>
        <v/>
      </c>
      <c r="C310" s="14">
        <f>IF($A310="","",MIN($D$4,F309+D310))</f>
        <v/>
      </c>
      <c r="D310" s="14">
        <f>IF($A310="","",F309*$B$6/12)</f>
        <v/>
      </c>
      <c r="E310" s="14">
        <f>IF($A310="","",C310-D310)</f>
        <v/>
      </c>
      <c r="F310" s="14">
        <f>IF($A310="","",F309-E310)</f>
        <v/>
      </c>
    </row>
    <row r="311">
      <c r="A311" s="12">
        <f>IF(291&gt;$B$5*12,"",291)</f>
        <v/>
      </c>
      <c r="B311" s="13">
        <f>IF($A311="","",EDATE($B$7,291))</f>
        <v/>
      </c>
      <c r="C311" s="14">
        <f>IF($A311="","",MIN($D$4,F310+D311))</f>
        <v/>
      </c>
      <c r="D311" s="14">
        <f>IF($A311="","",F310*$B$6/12)</f>
        <v/>
      </c>
      <c r="E311" s="14">
        <f>IF($A311="","",C311-D311)</f>
        <v/>
      </c>
      <c r="F311" s="14">
        <f>IF($A311="","",F310-E311)</f>
        <v/>
      </c>
    </row>
    <row r="312">
      <c r="A312" s="12">
        <f>IF(292&gt;$B$5*12,"",292)</f>
        <v/>
      </c>
      <c r="B312" s="13">
        <f>IF($A312="","",EDATE($B$7,292))</f>
        <v/>
      </c>
      <c r="C312" s="14">
        <f>IF($A312="","",MIN($D$4,F311+D312))</f>
        <v/>
      </c>
      <c r="D312" s="14">
        <f>IF($A312="","",F311*$B$6/12)</f>
        <v/>
      </c>
      <c r="E312" s="14">
        <f>IF($A312="","",C312-D312)</f>
        <v/>
      </c>
      <c r="F312" s="14">
        <f>IF($A312="","",F311-E312)</f>
        <v/>
      </c>
    </row>
    <row r="313">
      <c r="A313" s="12">
        <f>IF(293&gt;$B$5*12,"",293)</f>
        <v/>
      </c>
      <c r="B313" s="13">
        <f>IF($A313="","",EDATE($B$7,293))</f>
        <v/>
      </c>
      <c r="C313" s="14">
        <f>IF($A313="","",MIN($D$4,F312+D313))</f>
        <v/>
      </c>
      <c r="D313" s="14">
        <f>IF($A313="","",F312*$B$6/12)</f>
        <v/>
      </c>
      <c r="E313" s="14">
        <f>IF($A313="","",C313-D313)</f>
        <v/>
      </c>
      <c r="F313" s="14">
        <f>IF($A313="","",F312-E313)</f>
        <v/>
      </c>
    </row>
    <row r="314">
      <c r="A314" s="12">
        <f>IF(294&gt;$B$5*12,"",294)</f>
        <v/>
      </c>
      <c r="B314" s="13">
        <f>IF($A314="","",EDATE($B$7,294))</f>
        <v/>
      </c>
      <c r="C314" s="14">
        <f>IF($A314="","",MIN($D$4,F313+D314))</f>
        <v/>
      </c>
      <c r="D314" s="14">
        <f>IF($A314="","",F313*$B$6/12)</f>
        <v/>
      </c>
      <c r="E314" s="14">
        <f>IF($A314="","",C314-D314)</f>
        <v/>
      </c>
      <c r="F314" s="14">
        <f>IF($A314="","",F313-E314)</f>
        <v/>
      </c>
    </row>
    <row r="315">
      <c r="A315" s="12">
        <f>IF(295&gt;$B$5*12,"",295)</f>
        <v/>
      </c>
      <c r="B315" s="13">
        <f>IF($A315="","",EDATE($B$7,295))</f>
        <v/>
      </c>
      <c r="C315" s="14">
        <f>IF($A315="","",MIN($D$4,F314+D315))</f>
        <v/>
      </c>
      <c r="D315" s="14">
        <f>IF($A315="","",F314*$B$6/12)</f>
        <v/>
      </c>
      <c r="E315" s="14">
        <f>IF($A315="","",C315-D315)</f>
        <v/>
      </c>
      <c r="F315" s="14">
        <f>IF($A315="","",F314-E315)</f>
        <v/>
      </c>
    </row>
    <row r="316">
      <c r="A316" s="12">
        <f>IF(296&gt;$B$5*12,"",296)</f>
        <v/>
      </c>
      <c r="B316" s="13">
        <f>IF($A316="","",EDATE($B$7,296))</f>
        <v/>
      </c>
      <c r="C316" s="14">
        <f>IF($A316="","",MIN($D$4,F315+D316))</f>
        <v/>
      </c>
      <c r="D316" s="14">
        <f>IF($A316="","",F315*$B$6/12)</f>
        <v/>
      </c>
      <c r="E316" s="14">
        <f>IF($A316="","",C316-D316)</f>
        <v/>
      </c>
      <c r="F316" s="14">
        <f>IF($A316="","",F315-E316)</f>
        <v/>
      </c>
    </row>
    <row r="317">
      <c r="A317" s="12">
        <f>IF(297&gt;$B$5*12,"",297)</f>
        <v/>
      </c>
      <c r="B317" s="13">
        <f>IF($A317="","",EDATE($B$7,297))</f>
        <v/>
      </c>
      <c r="C317" s="14">
        <f>IF($A317="","",MIN($D$4,F316+D317))</f>
        <v/>
      </c>
      <c r="D317" s="14">
        <f>IF($A317="","",F316*$B$6/12)</f>
        <v/>
      </c>
      <c r="E317" s="14">
        <f>IF($A317="","",C317-D317)</f>
        <v/>
      </c>
      <c r="F317" s="14">
        <f>IF($A317="","",F316-E317)</f>
        <v/>
      </c>
    </row>
    <row r="318">
      <c r="A318" s="12">
        <f>IF(298&gt;$B$5*12,"",298)</f>
        <v/>
      </c>
      <c r="B318" s="13">
        <f>IF($A318="","",EDATE($B$7,298))</f>
        <v/>
      </c>
      <c r="C318" s="14">
        <f>IF($A318="","",MIN($D$4,F317+D318))</f>
        <v/>
      </c>
      <c r="D318" s="14">
        <f>IF($A318="","",F317*$B$6/12)</f>
        <v/>
      </c>
      <c r="E318" s="14">
        <f>IF($A318="","",C318-D318)</f>
        <v/>
      </c>
      <c r="F318" s="14">
        <f>IF($A318="","",F317-E318)</f>
        <v/>
      </c>
    </row>
    <row r="319">
      <c r="A319" s="12">
        <f>IF(299&gt;$B$5*12,"",299)</f>
        <v/>
      </c>
      <c r="B319" s="13">
        <f>IF($A319="","",EDATE($B$7,299))</f>
        <v/>
      </c>
      <c r="C319" s="14">
        <f>IF($A319="","",MIN($D$4,F318+D319))</f>
        <v/>
      </c>
      <c r="D319" s="14">
        <f>IF($A319="","",F318*$B$6/12)</f>
        <v/>
      </c>
      <c r="E319" s="14">
        <f>IF($A319="","",C319-D319)</f>
        <v/>
      </c>
      <c r="F319" s="14">
        <f>IF($A319="","",F318-E319)</f>
        <v/>
      </c>
    </row>
    <row r="320">
      <c r="A320" s="12">
        <f>IF(300&gt;$B$5*12,"",300)</f>
        <v/>
      </c>
      <c r="B320" s="13">
        <f>IF($A320="","",EDATE($B$7,300))</f>
        <v/>
      </c>
      <c r="C320" s="14">
        <f>IF($A320="","",MIN($D$4,F319+D320))</f>
        <v/>
      </c>
      <c r="D320" s="14">
        <f>IF($A320="","",F319*$B$6/12)</f>
        <v/>
      </c>
      <c r="E320" s="14">
        <f>IF($A320="","",C320-D320)</f>
        <v/>
      </c>
      <c r="F320" s="14">
        <f>IF($A320="","",F319-E320)</f>
        <v/>
      </c>
    </row>
    <row r="321">
      <c r="A321" s="12">
        <f>IF(301&gt;$B$5*12,"",301)</f>
        <v/>
      </c>
      <c r="B321" s="13">
        <f>IF($A321="","",EDATE($B$7,301))</f>
        <v/>
      </c>
      <c r="C321" s="14">
        <f>IF($A321="","",MIN($D$4,F320+D321))</f>
        <v/>
      </c>
      <c r="D321" s="14">
        <f>IF($A321="","",F320*$B$6/12)</f>
        <v/>
      </c>
      <c r="E321" s="14">
        <f>IF($A321="","",C321-D321)</f>
        <v/>
      </c>
      <c r="F321" s="14">
        <f>IF($A321="","",F320-E321)</f>
        <v/>
      </c>
    </row>
    <row r="322">
      <c r="A322" s="12">
        <f>IF(302&gt;$B$5*12,"",302)</f>
        <v/>
      </c>
      <c r="B322" s="13">
        <f>IF($A322="","",EDATE($B$7,302))</f>
        <v/>
      </c>
      <c r="C322" s="14">
        <f>IF($A322="","",MIN($D$4,F321+D322))</f>
        <v/>
      </c>
      <c r="D322" s="14">
        <f>IF($A322="","",F321*$B$6/12)</f>
        <v/>
      </c>
      <c r="E322" s="14">
        <f>IF($A322="","",C322-D322)</f>
        <v/>
      </c>
      <c r="F322" s="14">
        <f>IF($A322="","",F321-E322)</f>
        <v/>
      </c>
    </row>
    <row r="323">
      <c r="A323" s="12">
        <f>IF(303&gt;$B$5*12,"",303)</f>
        <v/>
      </c>
      <c r="B323" s="13">
        <f>IF($A323="","",EDATE($B$7,303))</f>
        <v/>
      </c>
      <c r="C323" s="14">
        <f>IF($A323="","",MIN($D$4,F322+D323))</f>
        <v/>
      </c>
      <c r="D323" s="14">
        <f>IF($A323="","",F322*$B$6/12)</f>
        <v/>
      </c>
      <c r="E323" s="14">
        <f>IF($A323="","",C323-D323)</f>
        <v/>
      </c>
      <c r="F323" s="14">
        <f>IF($A323="","",F322-E323)</f>
        <v/>
      </c>
    </row>
    <row r="324">
      <c r="A324" s="12">
        <f>IF(304&gt;$B$5*12,"",304)</f>
        <v/>
      </c>
      <c r="B324" s="13">
        <f>IF($A324="","",EDATE($B$7,304))</f>
        <v/>
      </c>
      <c r="C324" s="14">
        <f>IF($A324="","",MIN($D$4,F323+D324))</f>
        <v/>
      </c>
      <c r="D324" s="14">
        <f>IF($A324="","",F323*$B$6/12)</f>
        <v/>
      </c>
      <c r="E324" s="14">
        <f>IF($A324="","",C324-D324)</f>
        <v/>
      </c>
      <c r="F324" s="14">
        <f>IF($A324="","",F323-E324)</f>
        <v/>
      </c>
    </row>
    <row r="325">
      <c r="A325" s="12">
        <f>IF(305&gt;$B$5*12,"",305)</f>
        <v/>
      </c>
      <c r="B325" s="13">
        <f>IF($A325="","",EDATE($B$7,305))</f>
        <v/>
      </c>
      <c r="C325" s="14">
        <f>IF($A325="","",MIN($D$4,F324+D325))</f>
        <v/>
      </c>
      <c r="D325" s="14">
        <f>IF($A325="","",F324*$B$6/12)</f>
        <v/>
      </c>
      <c r="E325" s="14">
        <f>IF($A325="","",C325-D325)</f>
        <v/>
      </c>
      <c r="F325" s="14">
        <f>IF($A325="","",F324-E325)</f>
        <v/>
      </c>
    </row>
    <row r="326">
      <c r="A326" s="12">
        <f>IF(306&gt;$B$5*12,"",306)</f>
        <v/>
      </c>
      <c r="B326" s="13">
        <f>IF($A326="","",EDATE($B$7,306))</f>
        <v/>
      </c>
      <c r="C326" s="14">
        <f>IF($A326="","",MIN($D$4,F325+D326))</f>
        <v/>
      </c>
      <c r="D326" s="14">
        <f>IF($A326="","",F325*$B$6/12)</f>
        <v/>
      </c>
      <c r="E326" s="14">
        <f>IF($A326="","",C326-D326)</f>
        <v/>
      </c>
      <c r="F326" s="14">
        <f>IF($A326="","",F325-E326)</f>
        <v/>
      </c>
    </row>
    <row r="327">
      <c r="A327" s="12">
        <f>IF(307&gt;$B$5*12,"",307)</f>
        <v/>
      </c>
      <c r="B327" s="13">
        <f>IF($A327="","",EDATE($B$7,307))</f>
        <v/>
      </c>
      <c r="C327" s="14">
        <f>IF($A327="","",MIN($D$4,F326+D327))</f>
        <v/>
      </c>
      <c r="D327" s="14">
        <f>IF($A327="","",F326*$B$6/12)</f>
        <v/>
      </c>
      <c r="E327" s="14">
        <f>IF($A327="","",C327-D327)</f>
        <v/>
      </c>
      <c r="F327" s="14">
        <f>IF($A327="","",F326-E327)</f>
        <v/>
      </c>
    </row>
    <row r="328">
      <c r="A328" s="12">
        <f>IF(308&gt;$B$5*12,"",308)</f>
        <v/>
      </c>
      <c r="B328" s="13">
        <f>IF($A328="","",EDATE($B$7,308))</f>
        <v/>
      </c>
      <c r="C328" s="14">
        <f>IF($A328="","",MIN($D$4,F327+D328))</f>
        <v/>
      </c>
      <c r="D328" s="14">
        <f>IF($A328="","",F327*$B$6/12)</f>
        <v/>
      </c>
      <c r="E328" s="14">
        <f>IF($A328="","",C328-D328)</f>
        <v/>
      </c>
      <c r="F328" s="14">
        <f>IF($A328="","",F327-E328)</f>
        <v/>
      </c>
    </row>
    <row r="329">
      <c r="A329" s="12">
        <f>IF(309&gt;$B$5*12,"",309)</f>
        <v/>
      </c>
      <c r="B329" s="13">
        <f>IF($A329="","",EDATE($B$7,309))</f>
        <v/>
      </c>
      <c r="C329" s="14">
        <f>IF($A329="","",MIN($D$4,F328+D329))</f>
        <v/>
      </c>
      <c r="D329" s="14">
        <f>IF($A329="","",F328*$B$6/12)</f>
        <v/>
      </c>
      <c r="E329" s="14">
        <f>IF($A329="","",C329-D329)</f>
        <v/>
      </c>
      <c r="F329" s="14">
        <f>IF($A329="","",F328-E329)</f>
        <v/>
      </c>
    </row>
    <row r="330">
      <c r="A330" s="12">
        <f>IF(310&gt;$B$5*12,"",310)</f>
        <v/>
      </c>
      <c r="B330" s="13">
        <f>IF($A330="","",EDATE($B$7,310))</f>
        <v/>
      </c>
      <c r="C330" s="14">
        <f>IF($A330="","",MIN($D$4,F329+D330))</f>
        <v/>
      </c>
      <c r="D330" s="14">
        <f>IF($A330="","",F329*$B$6/12)</f>
        <v/>
      </c>
      <c r="E330" s="14">
        <f>IF($A330="","",C330-D330)</f>
        <v/>
      </c>
      <c r="F330" s="14">
        <f>IF($A330="","",F329-E330)</f>
        <v/>
      </c>
    </row>
    <row r="331">
      <c r="A331" s="12">
        <f>IF(311&gt;$B$5*12,"",311)</f>
        <v/>
      </c>
      <c r="B331" s="13">
        <f>IF($A331="","",EDATE($B$7,311))</f>
        <v/>
      </c>
      <c r="C331" s="14">
        <f>IF($A331="","",MIN($D$4,F330+D331))</f>
        <v/>
      </c>
      <c r="D331" s="14">
        <f>IF($A331="","",F330*$B$6/12)</f>
        <v/>
      </c>
      <c r="E331" s="14">
        <f>IF($A331="","",C331-D331)</f>
        <v/>
      </c>
      <c r="F331" s="14">
        <f>IF($A331="","",F330-E331)</f>
        <v/>
      </c>
    </row>
    <row r="332">
      <c r="A332" s="12">
        <f>IF(312&gt;$B$5*12,"",312)</f>
        <v/>
      </c>
      <c r="B332" s="13">
        <f>IF($A332="","",EDATE($B$7,312))</f>
        <v/>
      </c>
      <c r="C332" s="14">
        <f>IF($A332="","",MIN($D$4,F331+D332))</f>
        <v/>
      </c>
      <c r="D332" s="14">
        <f>IF($A332="","",F331*$B$6/12)</f>
        <v/>
      </c>
      <c r="E332" s="14">
        <f>IF($A332="","",C332-D332)</f>
        <v/>
      </c>
      <c r="F332" s="14">
        <f>IF($A332="","",F331-E332)</f>
        <v/>
      </c>
    </row>
    <row r="333">
      <c r="A333" s="12">
        <f>IF(313&gt;$B$5*12,"",313)</f>
        <v/>
      </c>
      <c r="B333" s="13">
        <f>IF($A333="","",EDATE($B$7,313))</f>
        <v/>
      </c>
      <c r="C333" s="14">
        <f>IF($A333="","",MIN($D$4,F332+D333))</f>
        <v/>
      </c>
      <c r="D333" s="14">
        <f>IF($A333="","",F332*$B$6/12)</f>
        <v/>
      </c>
      <c r="E333" s="14">
        <f>IF($A333="","",C333-D333)</f>
        <v/>
      </c>
      <c r="F333" s="14">
        <f>IF($A333="","",F332-E333)</f>
        <v/>
      </c>
    </row>
    <row r="334">
      <c r="A334" s="12">
        <f>IF(314&gt;$B$5*12,"",314)</f>
        <v/>
      </c>
      <c r="B334" s="13">
        <f>IF($A334="","",EDATE($B$7,314))</f>
        <v/>
      </c>
      <c r="C334" s="14">
        <f>IF($A334="","",MIN($D$4,F333+D334))</f>
        <v/>
      </c>
      <c r="D334" s="14">
        <f>IF($A334="","",F333*$B$6/12)</f>
        <v/>
      </c>
      <c r="E334" s="14">
        <f>IF($A334="","",C334-D334)</f>
        <v/>
      </c>
      <c r="F334" s="14">
        <f>IF($A334="","",F333-E334)</f>
        <v/>
      </c>
    </row>
    <row r="335">
      <c r="A335" s="12">
        <f>IF(315&gt;$B$5*12,"",315)</f>
        <v/>
      </c>
      <c r="B335" s="13">
        <f>IF($A335="","",EDATE($B$7,315))</f>
        <v/>
      </c>
      <c r="C335" s="14">
        <f>IF($A335="","",MIN($D$4,F334+D335))</f>
        <v/>
      </c>
      <c r="D335" s="14">
        <f>IF($A335="","",F334*$B$6/12)</f>
        <v/>
      </c>
      <c r="E335" s="14">
        <f>IF($A335="","",C335-D335)</f>
        <v/>
      </c>
      <c r="F335" s="14">
        <f>IF($A335="","",F334-E335)</f>
        <v/>
      </c>
    </row>
    <row r="336">
      <c r="A336" s="12">
        <f>IF(316&gt;$B$5*12,"",316)</f>
        <v/>
      </c>
      <c r="B336" s="13">
        <f>IF($A336="","",EDATE($B$7,316))</f>
        <v/>
      </c>
      <c r="C336" s="14">
        <f>IF($A336="","",MIN($D$4,F335+D336))</f>
        <v/>
      </c>
      <c r="D336" s="14">
        <f>IF($A336="","",F335*$B$6/12)</f>
        <v/>
      </c>
      <c r="E336" s="14">
        <f>IF($A336="","",C336-D336)</f>
        <v/>
      </c>
      <c r="F336" s="14">
        <f>IF($A336="","",F335-E336)</f>
        <v/>
      </c>
    </row>
    <row r="337">
      <c r="A337" s="12">
        <f>IF(317&gt;$B$5*12,"",317)</f>
        <v/>
      </c>
      <c r="B337" s="13">
        <f>IF($A337="","",EDATE($B$7,317))</f>
        <v/>
      </c>
      <c r="C337" s="14">
        <f>IF($A337="","",MIN($D$4,F336+D337))</f>
        <v/>
      </c>
      <c r="D337" s="14">
        <f>IF($A337="","",F336*$B$6/12)</f>
        <v/>
      </c>
      <c r="E337" s="14">
        <f>IF($A337="","",C337-D337)</f>
        <v/>
      </c>
      <c r="F337" s="14">
        <f>IF($A337="","",F336-E337)</f>
        <v/>
      </c>
    </row>
    <row r="338">
      <c r="A338" s="12">
        <f>IF(318&gt;$B$5*12,"",318)</f>
        <v/>
      </c>
      <c r="B338" s="13">
        <f>IF($A338="","",EDATE($B$7,318))</f>
        <v/>
      </c>
      <c r="C338" s="14">
        <f>IF($A338="","",MIN($D$4,F337+D338))</f>
        <v/>
      </c>
      <c r="D338" s="14">
        <f>IF($A338="","",F337*$B$6/12)</f>
        <v/>
      </c>
      <c r="E338" s="14">
        <f>IF($A338="","",C338-D338)</f>
        <v/>
      </c>
      <c r="F338" s="14">
        <f>IF($A338="","",F337-E338)</f>
        <v/>
      </c>
    </row>
    <row r="339">
      <c r="A339" s="12">
        <f>IF(319&gt;$B$5*12,"",319)</f>
        <v/>
      </c>
      <c r="B339" s="13">
        <f>IF($A339="","",EDATE($B$7,319))</f>
        <v/>
      </c>
      <c r="C339" s="14">
        <f>IF($A339="","",MIN($D$4,F338+D339))</f>
        <v/>
      </c>
      <c r="D339" s="14">
        <f>IF($A339="","",F338*$B$6/12)</f>
        <v/>
      </c>
      <c r="E339" s="14">
        <f>IF($A339="","",C339-D339)</f>
        <v/>
      </c>
      <c r="F339" s="14">
        <f>IF($A339="","",F338-E339)</f>
        <v/>
      </c>
    </row>
    <row r="340">
      <c r="A340" s="12">
        <f>IF(320&gt;$B$5*12,"",320)</f>
        <v/>
      </c>
      <c r="B340" s="13">
        <f>IF($A340="","",EDATE($B$7,320))</f>
        <v/>
      </c>
      <c r="C340" s="14">
        <f>IF($A340="","",MIN($D$4,F339+D340))</f>
        <v/>
      </c>
      <c r="D340" s="14">
        <f>IF($A340="","",F339*$B$6/12)</f>
        <v/>
      </c>
      <c r="E340" s="14">
        <f>IF($A340="","",C340-D340)</f>
        <v/>
      </c>
      <c r="F340" s="14">
        <f>IF($A340="","",F339-E340)</f>
        <v/>
      </c>
    </row>
    <row r="341">
      <c r="A341" s="12">
        <f>IF(321&gt;$B$5*12,"",321)</f>
        <v/>
      </c>
      <c r="B341" s="13">
        <f>IF($A341="","",EDATE($B$7,321))</f>
        <v/>
      </c>
      <c r="C341" s="14">
        <f>IF($A341="","",MIN($D$4,F340+D341))</f>
        <v/>
      </c>
      <c r="D341" s="14">
        <f>IF($A341="","",F340*$B$6/12)</f>
        <v/>
      </c>
      <c r="E341" s="14">
        <f>IF($A341="","",C341-D341)</f>
        <v/>
      </c>
      <c r="F341" s="14">
        <f>IF($A341="","",F340-E341)</f>
        <v/>
      </c>
    </row>
    <row r="342">
      <c r="A342" s="12">
        <f>IF(322&gt;$B$5*12,"",322)</f>
        <v/>
      </c>
      <c r="B342" s="13">
        <f>IF($A342="","",EDATE($B$7,322))</f>
        <v/>
      </c>
      <c r="C342" s="14">
        <f>IF($A342="","",MIN($D$4,F341+D342))</f>
        <v/>
      </c>
      <c r="D342" s="14">
        <f>IF($A342="","",F341*$B$6/12)</f>
        <v/>
      </c>
      <c r="E342" s="14">
        <f>IF($A342="","",C342-D342)</f>
        <v/>
      </c>
      <c r="F342" s="14">
        <f>IF($A342="","",F341-E342)</f>
        <v/>
      </c>
    </row>
    <row r="343">
      <c r="A343" s="12">
        <f>IF(323&gt;$B$5*12,"",323)</f>
        <v/>
      </c>
      <c r="B343" s="13">
        <f>IF($A343="","",EDATE($B$7,323))</f>
        <v/>
      </c>
      <c r="C343" s="14">
        <f>IF($A343="","",MIN($D$4,F342+D343))</f>
        <v/>
      </c>
      <c r="D343" s="14">
        <f>IF($A343="","",F342*$B$6/12)</f>
        <v/>
      </c>
      <c r="E343" s="14">
        <f>IF($A343="","",C343-D343)</f>
        <v/>
      </c>
      <c r="F343" s="14">
        <f>IF($A343="","",F342-E343)</f>
        <v/>
      </c>
    </row>
    <row r="344">
      <c r="A344" s="12">
        <f>IF(324&gt;$B$5*12,"",324)</f>
        <v/>
      </c>
      <c r="B344" s="13">
        <f>IF($A344="","",EDATE($B$7,324))</f>
        <v/>
      </c>
      <c r="C344" s="14">
        <f>IF($A344="","",MIN($D$4,F343+D344))</f>
        <v/>
      </c>
      <c r="D344" s="14">
        <f>IF($A344="","",F343*$B$6/12)</f>
        <v/>
      </c>
      <c r="E344" s="14">
        <f>IF($A344="","",C344-D344)</f>
        <v/>
      </c>
      <c r="F344" s="14">
        <f>IF($A344="","",F343-E344)</f>
        <v/>
      </c>
    </row>
    <row r="345">
      <c r="A345" s="12">
        <f>IF(325&gt;$B$5*12,"",325)</f>
        <v/>
      </c>
      <c r="B345" s="13">
        <f>IF($A345="","",EDATE($B$7,325))</f>
        <v/>
      </c>
      <c r="C345" s="14">
        <f>IF($A345="","",MIN($D$4,F344+D345))</f>
        <v/>
      </c>
      <c r="D345" s="14">
        <f>IF($A345="","",F344*$B$6/12)</f>
        <v/>
      </c>
      <c r="E345" s="14">
        <f>IF($A345="","",C345-D345)</f>
        <v/>
      </c>
      <c r="F345" s="14">
        <f>IF($A345="","",F344-E345)</f>
        <v/>
      </c>
    </row>
    <row r="346">
      <c r="A346" s="12">
        <f>IF(326&gt;$B$5*12,"",326)</f>
        <v/>
      </c>
      <c r="B346" s="13">
        <f>IF($A346="","",EDATE($B$7,326))</f>
        <v/>
      </c>
      <c r="C346" s="14">
        <f>IF($A346="","",MIN($D$4,F345+D346))</f>
        <v/>
      </c>
      <c r="D346" s="14">
        <f>IF($A346="","",F345*$B$6/12)</f>
        <v/>
      </c>
      <c r="E346" s="14">
        <f>IF($A346="","",C346-D346)</f>
        <v/>
      </c>
      <c r="F346" s="14">
        <f>IF($A346="","",F345-E346)</f>
        <v/>
      </c>
    </row>
    <row r="347">
      <c r="A347" s="12">
        <f>IF(327&gt;$B$5*12,"",327)</f>
        <v/>
      </c>
      <c r="B347" s="13">
        <f>IF($A347="","",EDATE($B$7,327))</f>
        <v/>
      </c>
      <c r="C347" s="14">
        <f>IF($A347="","",MIN($D$4,F346+D347))</f>
        <v/>
      </c>
      <c r="D347" s="14">
        <f>IF($A347="","",F346*$B$6/12)</f>
        <v/>
      </c>
      <c r="E347" s="14">
        <f>IF($A347="","",C347-D347)</f>
        <v/>
      </c>
      <c r="F347" s="14">
        <f>IF($A347="","",F346-E347)</f>
        <v/>
      </c>
    </row>
    <row r="348">
      <c r="A348" s="12">
        <f>IF(328&gt;$B$5*12,"",328)</f>
        <v/>
      </c>
      <c r="B348" s="13">
        <f>IF($A348="","",EDATE($B$7,328))</f>
        <v/>
      </c>
      <c r="C348" s="14">
        <f>IF($A348="","",MIN($D$4,F347+D348))</f>
        <v/>
      </c>
      <c r="D348" s="14">
        <f>IF($A348="","",F347*$B$6/12)</f>
        <v/>
      </c>
      <c r="E348" s="14">
        <f>IF($A348="","",C348-D348)</f>
        <v/>
      </c>
      <c r="F348" s="14">
        <f>IF($A348="","",F347-E348)</f>
        <v/>
      </c>
    </row>
    <row r="349">
      <c r="A349" s="12">
        <f>IF(329&gt;$B$5*12,"",329)</f>
        <v/>
      </c>
      <c r="B349" s="13">
        <f>IF($A349="","",EDATE($B$7,329))</f>
        <v/>
      </c>
      <c r="C349" s="14">
        <f>IF($A349="","",MIN($D$4,F348+D349))</f>
        <v/>
      </c>
      <c r="D349" s="14">
        <f>IF($A349="","",F348*$B$6/12)</f>
        <v/>
      </c>
      <c r="E349" s="14">
        <f>IF($A349="","",C349-D349)</f>
        <v/>
      </c>
      <c r="F349" s="14">
        <f>IF($A349="","",F348-E349)</f>
        <v/>
      </c>
    </row>
    <row r="350">
      <c r="A350" s="12">
        <f>IF(330&gt;$B$5*12,"",330)</f>
        <v/>
      </c>
      <c r="B350" s="13">
        <f>IF($A350="","",EDATE($B$7,330))</f>
        <v/>
      </c>
      <c r="C350" s="14">
        <f>IF($A350="","",MIN($D$4,F349+D350))</f>
        <v/>
      </c>
      <c r="D350" s="14">
        <f>IF($A350="","",F349*$B$6/12)</f>
        <v/>
      </c>
      <c r="E350" s="14">
        <f>IF($A350="","",C350-D350)</f>
        <v/>
      </c>
      <c r="F350" s="14">
        <f>IF($A350="","",F349-E350)</f>
        <v/>
      </c>
    </row>
    <row r="351">
      <c r="A351" s="12">
        <f>IF(331&gt;$B$5*12,"",331)</f>
        <v/>
      </c>
      <c r="B351" s="13">
        <f>IF($A351="","",EDATE($B$7,331))</f>
        <v/>
      </c>
      <c r="C351" s="14">
        <f>IF($A351="","",MIN($D$4,F350+D351))</f>
        <v/>
      </c>
      <c r="D351" s="14">
        <f>IF($A351="","",F350*$B$6/12)</f>
        <v/>
      </c>
      <c r="E351" s="14">
        <f>IF($A351="","",C351-D351)</f>
        <v/>
      </c>
      <c r="F351" s="14">
        <f>IF($A351="","",F350-E351)</f>
        <v/>
      </c>
    </row>
    <row r="352">
      <c r="A352" s="12">
        <f>IF(332&gt;$B$5*12,"",332)</f>
        <v/>
      </c>
      <c r="B352" s="13">
        <f>IF($A352="","",EDATE($B$7,332))</f>
        <v/>
      </c>
      <c r="C352" s="14">
        <f>IF($A352="","",MIN($D$4,F351+D352))</f>
        <v/>
      </c>
      <c r="D352" s="14">
        <f>IF($A352="","",F351*$B$6/12)</f>
        <v/>
      </c>
      <c r="E352" s="14">
        <f>IF($A352="","",C352-D352)</f>
        <v/>
      </c>
      <c r="F352" s="14">
        <f>IF($A352="","",F351-E352)</f>
        <v/>
      </c>
    </row>
    <row r="353">
      <c r="A353" s="12">
        <f>IF(333&gt;$B$5*12,"",333)</f>
        <v/>
      </c>
      <c r="B353" s="13">
        <f>IF($A353="","",EDATE($B$7,333))</f>
        <v/>
      </c>
      <c r="C353" s="14">
        <f>IF($A353="","",MIN($D$4,F352+D353))</f>
        <v/>
      </c>
      <c r="D353" s="14">
        <f>IF($A353="","",F352*$B$6/12)</f>
        <v/>
      </c>
      <c r="E353" s="14">
        <f>IF($A353="","",C353-D353)</f>
        <v/>
      </c>
      <c r="F353" s="14">
        <f>IF($A353="","",F352-E353)</f>
        <v/>
      </c>
    </row>
    <row r="354">
      <c r="A354" s="12">
        <f>IF(334&gt;$B$5*12,"",334)</f>
        <v/>
      </c>
      <c r="B354" s="13">
        <f>IF($A354="","",EDATE($B$7,334))</f>
        <v/>
      </c>
      <c r="C354" s="14">
        <f>IF($A354="","",MIN($D$4,F353+D354))</f>
        <v/>
      </c>
      <c r="D354" s="14">
        <f>IF($A354="","",F353*$B$6/12)</f>
        <v/>
      </c>
      <c r="E354" s="14">
        <f>IF($A354="","",C354-D354)</f>
        <v/>
      </c>
      <c r="F354" s="14">
        <f>IF($A354="","",F353-E354)</f>
        <v/>
      </c>
    </row>
    <row r="355">
      <c r="A355" s="12">
        <f>IF(335&gt;$B$5*12,"",335)</f>
        <v/>
      </c>
      <c r="B355" s="13">
        <f>IF($A355="","",EDATE($B$7,335))</f>
        <v/>
      </c>
      <c r="C355" s="14">
        <f>IF($A355="","",MIN($D$4,F354+D355))</f>
        <v/>
      </c>
      <c r="D355" s="14">
        <f>IF($A355="","",F354*$B$6/12)</f>
        <v/>
      </c>
      <c r="E355" s="14">
        <f>IF($A355="","",C355-D355)</f>
        <v/>
      </c>
      <c r="F355" s="14">
        <f>IF($A355="","",F354-E355)</f>
        <v/>
      </c>
    </row>
    <row r="356">
      <c r="A356" s="12">
        <f>IF(336&gt;$B$5*12,"",336)</f>
        <v/>
      </c>
      <c r="B356" s="13">
        <f>IF($A356="","",EDATE($B$7,336))</f>
        <v/>
      </c>
      <c r="C356" s="14">
        <f>IF($A356="","",MIN($D$4,F355+D356))</f>
        <v/>
      </c>
      <c r="D356" s="14">
        <f>IF($A356="","",F355*$B$6/12)</f>
        <v/>
      </c>
      <c r="E356" s="14">
        <f>IF($A356="","",C356-D356)</f>
        <v/>
      </c>
      <c r="F356" s="14">
        <f>IF($A356="","",F355-E356)</f>
        <v/>
      </c>
    </row>
    <row r="357">
      <c r="A357" s="12">
        <f>IF(337&gt;$B$5*12,"",337)</f>
        <v/>
      </c>
      <c r="B357" s="13">
        <f>IF($A357="","",EDATE($B$7,337))</f>
        <v/>
      </c>
      <c r="C357" s="14">
        <f>IF($A357="","",MIN($D$4,F356+D357))</f>
        <v/>
      </c>
      <c r="D357" s="14">
        <f>IF($A357="","",F356*$B$6/12)</f>
        <v/>
      </c>
      <c r="E357" s="14">
        <f>IF($A357="","",C357-D357)</f>
        <v/>
      </c>
      <c r="F357" s="14">
        <f>IF($A357="","",F356-E357)</f>
        <v/>
      </c>
    </row>
    <row r="358">
      <c r="A358" s="12">
        <f>IF(338&gt;$B$5*12,"",338)</f>
        <v/>
      </c>
      <c r="B358" s="13">
        <f>IF($A358="","",EDATE($B$7,338))</f>
        <v/>
      </c>
      <c r="C358" s="14">
        <f>IF($A358="","",MIN($D$4,F357+D358))</f>
        <v/>
      </c>
      <c r="D358" s="14">
        <f>IF($A358="","",F357*$B$6/12)</f>
        <v/>
      </c>
      <c r="E358" s="14">
        <f>IF($A358="","",C358-D358)</f>
        <v/>
      </c>
      <c r="F358" s="14">
        <f>IF($A358="","",F357-E358)</f>
        <v/>
      </c>
    </row>
    <row r="359">
      <c r="A359" s="12">
        <f>IF(339&gt;$B$5*12,"",339)</f>
        <v/>
      </c>
      <c r="B359" s="13">
        <f>IF($A359="","",EDATE($B$7,339))</f>
        <v/>
      </c>
      <c r="C359" s="14">
        <f>IF($A359="","",MIN($D$4,F358+D359))</f>
        <v/>
      </c>
      <c r="D359" s="14">
        <f>IF($A359="","",F358*$B$6/12)</f>
        <v/>
      </c>
      <c r="E359" s="14">
        <f>IF($A359="","",C359-D359)</f>
        <v/>
      </c>
      <c r="F359" s="14">
        <f>IF($A359="","",F358-E359)</f>
        <v/>
      </c>
    </row>
    <row r="360">
      <c r="A360" s="12">
        <f>IF(340&gt;$B$5*12,"",340)</f>
        <v/>
      </c>
      <c r="B360" s="13">
        <f>IF($A360="","",EDATE($B$7,340))</f>
        <v/>
      </c>
      <c r="C360" s="14">
        <f>IF($A360="","",MIN($D$4,F359+D360))</f>
        <v/>
      </c>
      <c r="D360" s="14">
        <f>IF($A360="","",F359*$B$6/12)</f>
        <v/>
      </c>
      <c r="E360" s="14">
        <f>IF($A360="","",C360-D360)</f>
        <v/>
      </c>
      <c r="F360" s="14">
        <f>IF($A360="","",F359-E360)</f>
        <v/>
      </c>
    </row>
    <row r="361">
      <c r="A361" s="12">
        <f>IF(341&gt;$B$5*12,"",341)</f>
        <v/>
      </c>
      <c r="B361" s="13">
        <f>IF($A361="","",EDATE($B$7,341))</f>
        <v/>
      </c>
      <c r="C361" s="14">
        <f>IF($A361="","",MIN($D$4,F360+D361))</f>
        <v/>
      </c>
      <c r="D361" s="14">
        <f>IF($A361="","",F360*$B$6/12)</f>
        <v/>
      </c>
      <c r="E361" s="14">
        <f>IF($A361="","",C361-D361)</f>
        <v/>
      </c>
      <c r="F361" s="14">
        <f>IF($A361="","",F360-E361)</f>
        <v/>
      </c>
    </row>
    <row r="362">
      <c r="A362" s="12">
        <f>IF(342&gt;$B$5*12,"",342)</f>
        <v/>
      </c>
      <c r="B362" s="13">
        <f>IF($A362="","",EDATE($B$7,342))</f>
        <v/>
      </c>
      <c r="C362" s="14">
        <f>IF($A362="","",MIN($D$4,F361+D362))</f>
        <v/>
      </c>
      <c r="D362" s="14">
        <f>IF($A362="","",F361*$B$6/12)</f>
        <v/>
      </c>
      <c r="E362" s="14">
        <f>IF($A362="","",C362-D362)</f>
        <v/>
      </c>
      <c r="F362" s="14">
        <f>IF($A362="","",F361-E362)</f>
        <v/>
      </c>
    </row>
    <row r="363">
      <c r="A363" s="12">
        <f>IF(343&gt;$B$5*12,"",343)</f>
        <v/>
      </c>
      <c r="B363" s="13">
        <f>IF($A363="","",EDATE($B$7,343))</f>
        <v/>
      </c>
      <c r="C363" s="14">
        <f>IF($A363="","",MIN($D$4,F362+D363))</f>
        <v/>
      </c>
      <c r="D363" s="14">
        <f>IF($A363="","",F362*$B$6/12)</f>
        <v/>
      </c>
      <c r="E363" s="14">
        <f>IF($A363="","",C363-D363)</f>
        <v/>
      </c>
      <c r="F363" s="14">
        <f>IF($A363="","",F362-E363)</f>
        <v/>
      </c>
    </row>
    <row r="364">
      <c r="A364" s="12">
        <f>IF(344&gt;$B$5*12,"",344)</f>
        <v/>
      </c>
      <c r="B364" s="13">
        <f>IF($A364="","",EDATE($B$7,344))</f>
        <v/>
      </c>
      <c r="C364" s="14">
        <f>IF($A364="","",MIN($D$4,F363+D364))</f>
        <v/>
      </c>
      <c r="D364" s="14">
        <f>IF($A364="","",F363*$B$6/12)</f>
        <v/>
      </c>
      <c r="E364" s="14">
        <f>IF($A364="","",C364-D364)</f>
        <v/>
      </c>
      <c r="F364" s="14">
        <f>IF($A364="","",F363-E364)</f>
        <v/>
      </c>
    </row>
    <row r="365">
      <c r="A365" s="12">
        <f>IF(345&gt;$B$5*12,"",345)</f>
        <v/>
      </c>
      <c r="B365" s="13">
        <f>IF($A365="","",EDATE($B$7,345))</f>
        <v/>
      </c>
      <c r="C365" s="14">
        <f>IF($A365="","",MIN($D$4,F364+D365))</f>
        <v/>
      </c>
      <c r="D365" s="14">
        <f>IF($A365="","",F364*$B$6/12)</f>
        <v/>
      </c>
      <c r="E365" s="14">
        <f>IF($A365="","",C365-D365)</f>
        <v/>
      </c>
      <c r="F365" s="14">
        <f>IF($A365="","",F364-E365)</f>
        <v/>
      </c>
    </row>
    <row r="366">
      <c r="A366" s="12">
        <f>IF(346&gt;$B$5*12,"",346)</f>
        <v/>
      </c>
      <c r="B366" s="13">
        <f>IF($A366="","",EDATE($B$7,346))</f>
        <v/>
      </c>
      <c r="C366" s="14">
        <f>IF($A366="","",MIN($D$4,F365+D366))</f>
        <v/>
      </c>
      <c r="D366" s="14">
        <f>IF($A366="","",F365*$B$6/12)</f>
        <v/>
      </c>
      <c r="E366" s="14">
        <f>IF($A366="","",C366-D366)</f>
        <v/>
      </c>
      <c r="F366" s="14">
        <f>IF($A366="","",F365-E366)</f>
        <v/>
      </c>
    </row>
    <row r="367">
      <c r="A367" s="12">
        <f>IF(347&gt;$B$5*12,"",347)</f>
        <v/>
      </c>
      <c r="B367" s="13">
        <f>IF($A367="","",EDATE($B$7,347))</f>
        <v/>
      </c>
      <c r="C367" s="14">
        <f>IF($A367="","",MIN($D$4,F366+D367))</f>
        <v/>
      </c>
      <c r="D367" s="14">
        <f>IF($A367="","",F366*$B$6/12)</f>
        <v/>
      </c>
      <c r="E367" s="14">
        <f>IF($A367="","",C367-D367)</f>
        <v/>
      </c>
      <c r="F367" s="14">
        <f>IF($A367="","",F366-E367)</f>
        <v/>
      </c>
    </row>
    <row r="368">
      <c r="A368" s="12">
        <f>IF(348&gt;$B$5*12,"",348)</f>
        <v/>
      </c>
      <c r="B368" s="13">
        <f>IF($A368="","",EDATE($B$7,348))</f>
        <v/>
      </c>
      <c r="C368" s="14">
        <f>IF($A368="","",MIN($D$4,F367+D368))</f>
        <v/>
      </c>
      <c r="D368" s="14">
        <f>IF($A368="","",F367*$B$6/12)</f>
        <v/>
      </c>
      <c r="E368" s="14">
        <f>IF($A368="","",C368-D368)</f>
        <v/>
      </c>
      <c r="F368" s="14">
        <f>IF($A368="","",F367-E368)</f>
        <v/>
      </c>
    </row>
    <row r="369">
      <c r="A369" s="12">
        <f>IF(349&gt;$B$5*12,"",349)</f>
        <v/>
      </c>
      <c r="B369" s="13">
        <f>IF($A369="","",EDATE($B$7,349))</f>
        <v/>
      </c>
      <c r="C369" s="14">
        <f>IF($A369="","",MIN($D$4,F368+D369))</f>
        <v/>
      </c>
      <c r="D369" s="14">
        <f>IF($A369="","",F368*$B$6/12)</f>
        <v/>
      </c>
      <c r="E369" s="14">
        <f>IF($A369="","",C369-D369)</f>
        <v/>
      </c>
      <c r="F369" s="14">
        <f>IF($A369="","",F368-E369)</f>
        <v/>
      </c>
    </row>
    <row r="370">
      <c r="A370" s="12">
        <f>IF(350&gt;$B$5*12,"",350)</f>
        <v/>
      </c>
      <c r="B370" s="13">
        <f>IF($A370="","",EDATE($B$7,350))</f>
        <v/>
      </c>
      <c r="C370" s="14">
        <f>IF($A370="","",MIN($D$4,F369+D370))</f>
        <v/>
      </c>
      <c r="D370" s="14">
        <f>IF($A370="","",F369*$B$6/12)</f>
        <v/>
      </c>
      <c r="E370" s="14">
        <f>IF($A370="","",C370-D370)</f>
        <v/>
      </c>
      <c r="F370" s="14">
        <f>IF($A370="","",F369-E370)</f>
        <v/>
      </c>
    </row>
    <row r="371">
      <c r="A371" s="12">
        <f>IF(351&gt;$B$5*12,"",351)</f>
        <v/>
      </c>
      <c r="B371" s="13">
        <f>IF($A371="","",EDATE($B$7,351))</f>
        <v/>
      </c>
      <c r="C371" s="14">
        <f>IF($A371="","",MIN($D$4,F370+D371))</f>
        <v/>
      </c>
      <c r="D371" s="14">
        <f>IF($A371="","",F370*$B$6/12)</f>
        <v/>
      </c>
      <c r="E371" s="14">
        <f>IF($A371="","",C371-D371)</f>
        <v/>
      </c>
      <c r="F371" s="14">
        <f>IF($A371="","",F370-E371)</f>
        <v/>
      </c>
    </row>
    <row r="372">
      <c r="A372" s="12">
        <f>IF(352&gt;$B$5*12,"",352)</f>
        <v/>
      </c>
      <c r="B372" s="13">
        <f>IF($A372="","",EDATE($B$7,352))</f>
        <v/>
      </c>
      <c r="C372" s="14">
        <f>IF($A372="","",MIN($D$4,F371+D372))</f>
        <v/>
      </c>
      <c r="D372" s="14">
        <f>IF($A372="","",F371*$B$6/12)</f>
        <v/>
      </c>
      <c r="E372" s="14">
        <f>IF($A372="","",C372-D372)</f>
        <v/>
      </c>
      <c r="F372" s="14">
        <f>IF($A372="","",F371-E372)</f>
        <v/>
      </c>
    </row>
    <row r="373">
      <c r="A373" s="12">
        <f>IF(353&gt;$B$5*12,"",353)</f>
        <v/>
      </c>
      <c r="B373" s="13">
        <f>IF($A373="","",EDATE($B$7,353))</f>
        <v/>
      </c>
      <c r="C373" s="14">
        <f>IF($A373="","",MIN($D$4,F372+D373))</f>
        <v/>
      </c>
      <c r="D373" s="14">
        <f>IF($A373="","",F372*$B$6/12)</f>
        <v/>
      </c>
      <c r="E373" s="14">
        <f>IF($A373="","",C373-D373)</f>
        <v/>
      </c>
      <c r="F373" s="14">
        <f>IF($A373="","",F372-E373)</f>
        <v/>
      </c>
    </row>
    <row r="374">
      <c r="A374" s="12">
        <f>IF(354&gt;$B$5*12,"",354)</f>
        <v/>
      </c>
      <c r="B374" s="13">
        <f>IF($A374="","",EDATE($B$7,354))</f>
        <v/>
      </c>
      <c r="C374" s="14">
        <f>IF($A374="","",MIN($D$4,F373+D374))</f>
        <v/>
      </c>
      <c r="D374" s="14">
        <f>IF($A374="","",F373*$B$6/12)</f>
        <v/>
      </c>
      <c r="E374" s="14">
        <f>IF($A374="","",C374-D374)</f>
        <v/>
      </c>
      <c r="F374" s="14">
        <f>IF($A374="","",F373-E374)</f>
        <v/>
      </c>
    </row>
    <row r="375">
      <c r="A375" s="12">
        <f>IF(355&gt;$B$5*12,"",355)</f>
        <v/>
      </c>
      <c r="B375" s="13">
        <f>IF($A375="","",EDATE($B$7,355))</f>
        <v/>
      </c>
      <c r="C375" s="14">
        <f>IF($A375="","",MIN($D$4,F374+D375))</f>
        <v/>
      </c>
      <c r="D375" s="14">
        <f>IF($A375="","",F374*$B$6/12)</f>
        <v/>
      </c>
      <c r="E375" s="14">
        <f>IF($A375="","",C375-D375)</f>
        <v/>
      </c>
      <c r="F375" s="14">
        <f>IF($A375="","",F374-E375)</f>
        <v/>
      </c>
    </row>
    <row r="376">
      <c r="A376" s="12">
        <f>IF(356&gt;$B$5*12,"",356)</f>
        <v/>
      </c>
      <c r="B376" s="13">
        <f>IF($A376="","",EDATE($B$7,356))</f>
        <v/>
      </c>
      <c r="C376" s="14">
        <f>IF($A376="","",MIN($D$4,F375+D376))</f>
        <v/>
      </c>
      <c r="D376" s="14">
        <f>IF($A376="","",F375*$B$6/12)</f>
        <v/>
      </c>
      <c r="E376" s="14">
        <f>IF($A376="","",C376-D376)</f>
        <v/>
      </c>
      <c r="F376" s="14">
        <f>IF($A376="","",F375-E376)</f>
        <v/>
      </c>
    </row>
    <row r="377">
      <c r="A377" s="12">
        <f>IF(357&gt;$B$5*12,"",357)</f>
        <v/>
      </c>
      <c r="B377" s="13">
        <f>IF($A377="","",EDATE($B$7,357))</f>
        <v/>
      </c>
      <c r="C377" s="14">
        <f>IF($A377="","",MIN($D$4,F376+D377))</f>
        <v/>
      </c>
      <c r="D377" s="14">
        <f>IF($A377="","",F376*$B$6/12)</f>
        <v/>
      </c>
      <c r="E377" s="14">
        <f>IF($A377="","",C377-D377)</f>
        <v/>
      </c>
      <c r="F377" s="14">
        <f>IF($A377="","",F376-E377)</f>
        <v/>
      </c>
    </row>
    <row r="378">
      <c r="A378" s="12">
        <f>IF(358&gt;$B$5*12,"",358)</f>
        <v/>
      </c>
      <c r="B378" s="13">
        <f>IF($A378="","",EDATE($B$7,358))</f>
        <v/>
      </c>
      <c r="C378" s="14">
        <f>IF($A378="","",MIN($D$4,F377+D378))</f>
        <v/>
      </c>
      <c r="D378" s="14">
        <f>IF($A378="","",F377*$B$6/12)</f>
        <v/>
      </c>
      <c r="E378" s="14">
        <f>IF($A378="","",C378-D378)</f>
        <v/>
      </c>
      <c r="F378" s="14">
        <f>IF($A378="","",F377-E378)</f>
        <v/>
      </c>
    </row>
    <row r="379">
      <c r="A379" s="12">
        <f>IF(359&gt;$B$5*12,"",359)</f>
        <v/>
      </c>
      <c r="B379" s="13">
        <f>IF($A379="","",EDATE($B$7,359))</f>
        <v/>
      </c>
      <c r="C379" s="14">
        <f>IF($A379="","",MIN($D$4,F378+D379))</f>
        <v/>
      </c>
      <c r="D379" s="14">
        <f>IF($A379="","",F378*$B$6/12)</f>
        <v/>
      </c>
      <c r="E379" s="14">
        <f>IF($A379="","",C379-D379)</f>
        <v/>
      </c>
      <c r="F379" s="14">
        <f>IF($A379="","",F378-E379)</f>
        <v/>
      </c>
    </row>
    <row r="380">
      <c r="A380" s="12">
        <f>IF(360&gt;$B$5*12,"",360)</f>
        <v/>
      </c>
      <c r="B380" s="13">
        <f>IF($A380="","",EDATE($B$7,360))</f>
        <v/>
      </c>
      <c r="C380" s="14">
        <f>IF($A380="","",MIN($D$4,F379+D380))</f>
        <v/>
      </c>
      <c r="D380" s="14">
        <f>IF($A380="","",F379*$B$6/12)</f>
        <v/>
      </c>
      <c r="E380" s="14">
        <f>IF($A380="","",C380-D380)</f>
        <v/>
      </c>
      <c r="F380" s="14">
        <f>IF($A380="","",F379-E380)</f>
        <v/>
      </c>
    </row>
    <row r="381">
      <c r="A381" s="12">
        <f>IF(361&gt;$B$5*12,"",361)</f>
        <v/>
      </c>
      <c r="B381" s="13">
        <f>IF($A381="","",EDATE($B$7,361))</f>
        <v/>
      </c>
      <c r="C381" s="14">
        <f>IF($A381="","",MIN($D$4,F380+D381))</f>
        <v/>
      </c>
      <c r="D381" s="14">
        <f>IF($A381="","",F380*$B$6/12)</f>
        <v/>
      </c>
      <c r="E381" s="14">
        <f>IF($A381="","",C381-D381)</f>
        <v/>
      </c>
      <c r="F381" s="14">
        <f>IF($A381="","",F380-E381)</f>
        <v/>
      </c>
    </row>
    <row r="382">
      <c r="A382" s="12">
        <f>IF(362&gt;$B$5*12,"",362)</f>
        <v/>
      </c>
      <c r="B382" s="13">
        <f>IF($A382="","",EDATE($B$7,362))</f>
        <v/>
      </c>
      <c r="C382" s="14">
        <f>IF($A382="","",MIN($D$4,F381+D382))</f>
        <v/>
      </c>
      <c r="D382" s="14">
        <f>IF($A382="","",F381*$B$6/12)</f>
        <v/>
      </c>
      <c r="E382" s="14">
        <f>IF($A382="","",C382-D382)</f>
        <v/>
      </c>
      <c r="F382" s="14">
        <f>IF($A382="","",F381-E382)</f>
        <v/>
      </c>
    </row>
    <row r="383">
      <c r="A383" s="12">
        <f>IF(363&gt;$B$5*12,"",363)</f>
        <v/>
      </c>
      <c r="B383" s="13">
        <f>IF($A383="","",EDATE($B$7,363))</f>
        <v/>
      </c>
      <c r="C383" s="14">
        <f>IF($A383="","",MIN($D$4,F382+D383))</f>
        <v/>
      </c>
      <c r="D383" s="14">
        <f>IF($A383="","",F382*$B$6/12)</f>
        <v/>
      </c>
      <c r="E383" s="14">
        <f>IF($A383="","",C383-D383)</f>
        <v/>
      </c>
      <c r="F383" s="14">
        <f>IF($A383="","",F382-E383)</f>
        <v/>
      </c>
    </row>
    <row r="384">
      <c r="A384" s="12">
        <f>IF(364&gt;$B$5*12,"",364)</f>
        <v/>
      </c>
      <c r="B384" s="13">
        <f>IF($A384="","",EDATE($B$7,364))</f>
        <v/>
      </c>
      <c r="C384" s="14">
        <f>IF($A384="","",MIN($D$4,F383+D384))</f>
        <v/>
      </c>
      <c r="D384" s="14">
        <f>IF($A384="","",F383*$B$6/12)</f>
        <v/>
      </c>
      <c r="E384" s="14">
        <f>IF($A384="","",C384-D384)</f>
        <v/>
      </c>
      <c r="F384" s="14">
        <f>IF($A384="","",F383-E384)</f>
        <v/>
      </c>
    </row>
    <row r="385">
      <c r="A385" s="12">
        <f>IF(365&gt;$B$5*12,"",365)</f>
        <v/>
      </c>
      <c r="B385" s="13">
        <f>IF($A385="","",EDATE($B$7,365))</f>
        <v/>
      </c>
      <c r="C385" s="14">
        <f>IF($A385="","",MIN($D$4,F384+D385))</f>
        <v/>
      </c>
      <c r="D385" s="14">
        <f>IF($A385="","",F384*$B$6/12)</f>
        <v/>
      </c>
      <c r="E385" s="14">
        <f>IF($A385="","",C385-D385)</f>
        <v/>
      </c>
      <c r="F385" s="14">
        <f>IF($A385="","",F384-E385)</f>
        <v/>
      </c>
    </row>
    <row r="386">
      <c r="A386" s="12">
        <f>IF(366&gt;$B$5*12,"",366)</f>
        <v/>
      </c>
      <c r="B386" s="13">
        <f>IF($A386="","",EDATE($B$7,366))</f>
        <v/>
      </c>
      <c r="C386" s="14">
        <f>IF($A386="","",MIN($D$4,F385+D386))</f>
        <v/>
      </c>
      <c r="D386" s="14">
        <f>IF($A386="","",F385*$B$6/12)</f>
        <v/>
      </c>
      <c r="E386" s="14">
        <f>IF($A386="","",C386-D386)</f>
        <v/>
      </c>
      <c r="F386" s="14">
        <f>IF($A386="","",F385-E386)</f>
        <v/>
      </c>
    </row>
    <row r="387">
      <c r="A387" s="12">
        <f>IF(367&gt;$B$5*12,"",367)</f>
        <v/>
      </c>
      <c r="B387" s="13">
        <f>IF($A387="","",EDATE($B$7,367))</f>
        <v/>
      </c>
      <c r="C387" s="14">
        <f>IF($A387="","",MIN($D$4,F386+D387))</f>
        <v/>
      </c>
      <c r="D387" s="14">
        <f>IF($A387="","",F386*$B$6/12)</f>
        <v/>
      </c>
      <c r="E387" s="14">
        <f>IF($A387="","",C387-D387)</f>
        <v/>
      </c>
      <c r="F387" s="14">
        <f>IF($A387="","",F386-E387)</f>
        <v/>
      </c>
    </row>
    <row r="388">
      <c r="A388" s="12">
        <f>IF(368&gt;$B$5*12,"",368)</f>
        <v/>
      </c>
      <c r="B388" s="13">
        <f>IF($A388="","",EDATE($B$7,368))</f>
        <v/>
      </c>
      <c r="C388" s="14">
        <f>IF($A388="","",MIN($D$4,F387+D388))</f>
        <v/>
      </c>
      <c r="D388" s="14">
        <f>IF($A388="","",F387*$B$6/12)</f>
        <v/>
      </c>
      <c r="E388" s="14">
        <f>IF($A388="","",C388-D388)</f>
        <v/>
      </c>
      <c r="F388" s="14">
        <f>IF($A388="","",F387-E388)</f>
        <v/>
      </c>
    </row>
    <row r="389">
      <c r="A389" s="12">
        <f>IF(369&gt;$B$5*12,"",369)</f>
        <v/>
      </c>
      <c r="B389" s="13">
        <f>IF($A389="","",EDATE($B$7,369))</f>
        <v/>
      </c>
      <c r="C389" s="14">
        <f>IF($A389="","",MIN($D$4,F388+D389))</f>
        <v/>
      </c>
      <c r="D389" s="14">
        <f>IF($A389="","",F388*$B$6/12)</f>
        <v/>
      </c>
      <c r="E389" s="14">
        <f>IF($A389="","",C389-D389)</f>
        <v/>
      </c>
      <c r="F389" s="14">
        <f>IF($A389="","",F388-E389)</f>
        <v/>
      </c>
    </row>
    <row r="390">
      <c r="A390" s="12">
        <f>IF(370&gt;$B$5*12,"",370)</f>
        <v/>
      </c>
      <c r="B390" s="13">
        <f>IF($A390="","",EDATE($B$7,370))</f>
        <v/>
      </c>
      <c r="C390" s="14">
        <f>IF($A390="","",MIN($D$4,F389+D390))</f>
        <v/>
      </c>
      <c r="D390" s="14">
        <f>IF($A390="","",F389*$B$6/12)</f>
        <v/>
      </c>
      <c r="E390" s="14">
        <f>IF($A390="","",C390-D390)</f>
        <v/>
      </c>
      <c r="F390" s="14">
        <f>IF($A390="","",F389-E390)</f>
        <v/>
      </c>
    </row>
    <row r="391">
      <c r="A391" s="12">
        <f>IF(371&gt;$B$5*12,"",371)</f>
        <v/>
      </c>
      <c r="B391" s="13">
        <f>IF($A391="","",EDATE($B$7,371))</f>
        <v/>
      </c>
      <c r="C391" s="14">
        <f>IF($A391="","",MIN($D$4,F390+D391))</f>
        <v/>
      </c>
      <c r="D391" s="14">
        <f>IF($A391="","",F390*$B$6/12)</f>
        <v/>
      </c>
      <c r="E391" s="14">
        <f>IF($A391="","",C391-D391)</f>
        <v/>
      </c>
      <c r="F391" s="14">
        <f>IF($A391="","",F390-E391)</f>
        <v/>
      </c>
    </row>
    <row r="392">
      <c r="A392" s="12">
        <f>IF(372&gt;$B$5*12,"",372)</f>
        <v/>
      </c>
      <c r="B392" s="13">
        <f>IF($A392="","",EDATE($B$7,372))</f>
        <v/>
      </c>
      <c r="C392" s="14">
        <f>IF($A392="","",MIN($D$4,F391+D392))</f>
        <v/>
      </c>
      <c r="D392" s="14">
        <f>IF($A392="","",F391*$B$6/12)</f>
        <v/>
      </c>
      <c r="E392" s="14">
        <f>IF($A392="","",C392-D392)</f>
        <v/>
      </c>
      <c r="F392" s="14">
        <f>IF($A392="","",F391-E392)</f>
        <v/>
      </c>
    </row>
    <row r="393">
      <c r="A393" s="12">
        <f>IF(373&gt;$B$5*12,"",373)</f>
        <v/>
      </c>
      <c r="B393" s="13">
        <f>IF($A393="","",EDATE($B$7,373))</f>
        <v/>
      </c>
      <c r="C393" s="14">
        <f>IF($A393="","",MIN($D$4,F392+D393))</f>
        <v/>
      </c>
      <c r="D393" s="14">
        <f>IF($A393="","",F392*$B$6/12)</f>
        <v/>
      </c>
      <c r="E393" s="14">
        <f>IF($A393="","",C393-D393)</f>
        <v/>
      </c>
      <c r="F393" s="14">
        <f>IF($A393="","",F392-E393)</f>
        <v/>
      </c>
    </row>
    <row r="394">
      <c r="A394" s="12">
        <f>IF(374&gt;$B$5*12,"",374)</f>
        <v/>
      </c>
      <c r="B394" s="13">
        <f>IF($A394="","",EDATE($B$7,374))</f>
        <v/>
      </c>
      <c r="C394" s="14">
        <f>IF($A394="","",MIN($D$4,F393+D394))</f>
        <v/>
      </c>
      <c r="D394" s="14">
        <f>IF($A394="","",F393*$B$6/12)</f>
        <v/>
      </c>
      <c r="E394" s="14">
        <f>IF($A394="","",C394-D394)</f>
        <v/>
      </c>
      <c r="F394" s="14">
        <f>IF($A394="","",F393-E394)</f>
        <v/>
      </c>
    </row>
    <row r="395">
      <c r="A395" s="12">
        <f>IF(375&gt;$B$5*12,"",375)</f>
        <v/>
      </c>
      <c r="B395" s="13">
        <f>IF($A395="","",EDATE($B$7,375))</f>
        <v/>
      </c>
      <c r="C395" s="14">
        <f>IF($A395="","",MIN($D$4,F394+D395))</f>
        <v/>
      </c>
      <c r="D395" s="14">
        <f>IF($A395="","",F394*$B$6/12)</f>
        <v/>
      </c>
      <c r="E395" s="14">
        <f>IF($A395="","",C395-D395)</f>
        <v/>
      </c>
      <c r="F395" s="14">
        <f>IF($A395="","",F394-E395)</f>
        <v/>
      </c>
    </row>
    <row r="396">
      <c r="A396" s="12">
        <f>IF(376&gt;$B$5*12,"",376)</f>
        <v/>
      </c>
      <c r="B396" s="13">
        <f>IF($A396="","",EDATE($B$7,376))</f>
        <v/>
      </c>
      <c r="C396" s="14">
        <f>IF($A396="","",MIN($D$4,F395+D396))</f>
        <v/>
      </c>
      <c r="D396" s="14">
        <f>IF($A396="","",F395*$B$6/12)</f>
        <v/>
      </c>
      <c r="E396" s="14">
        <f>IF($A396="","",C396-D396)</f>
        <v/>
      </c>
      <c r="F396" s="14">
        <f>IF($A396="","",F395-E396)</f>
        <v/>
      </c>
    </row>
    <row r="397">
      <c r="A397" s="12">
        <f>IF(377&gt;$B$5*12,"",377)</f>
        <v/>
      </c>
      <c r="B397" s="13">
        <f>IF($A397="","",EDATE($B$7,377))</f>
        <v/>
      </c>
      <c r="C397" s="14">
        <f>IF($A397="","",MIN($D$4,F396+D397))</f>
        <v/>
      </c>
      <c r="D397" s="14">
        <f>IF($A397="","",F396*$B$6/12)</f>
        <v/>
      </c>
      <c r="E397" s="14">
        <f>IF($A397="","",C397-D397)</f>
        <v/>
      </c>
      <c r="F397" s="14">
        <f>IF($A397="","",F396-E397)</f>
        <v/>
      </c>
    </row>
    <row r="398">
      <c r="A398" s="12">
        <f>IF(378&gt;$B$5*12,"",378)</f>
        <v/>
      </c>
      <c r="B398" s="13">
        <f>IF($A398="","",EDATE($B$7,378))</f>
        <v/>
      </c>
      <c r="C398" s="14">
        <f>IF($A398="","",MIN($D$4,F397+D398))</f>
        <v/>
      </c>
      <c r="D398" s="14">
        <f>IF($A398="","",F397*$B$6/12)</f>
        <v/>
      </c>
      <c r="E398" s="14">
        <f>IF($A398="","",C398-D398)</f>
        <v/>
      </c>
      <c r="F398" s="14">
        <f>IF($A398="","",F397-E398)</f>
        <v/>
      </c>
    </row>
    <row r="399">
      <c r="A399" s="12">
        <f>IF(379&gt;$B$5*12,"",379)</f>
        <v/>
      </c>
      <c r="B399" s="13">
        <f>IF($A399="","",EDATE($B$7,379))</f>
        <v/>
      </c>
      <c r="C399" s="14">
        <f>IF($A399="","",MIN($D$4,F398+D399))</f>
        <v/>
      </c>
      <c r="D399" s="14">
        <f>IF($A399="","",F398*$B$6/12)</f>
        <v/>
      </c>
      <c r="E399" s="14">
        <f>IF($A399="","",C399-D399)</f>
        <v/>
      </c>
      <c r="F399" s="14">
        <f>IF($A399="","",F398-E399)</f>
        <v/>
      </c>
    </row>
    <row r="400">
      <c r="A400" s="12">
        <f>IF(380&gt;$B$5*12,"",380)</f>
        <v/>
      </c>
      <c r="B400" s="13">
        <f>IF($A400="","",EDATE($B$7,380))</f>
        <v/>
      </c>
      <c r="C400" s="14">
        <f>IF($A400="","",MIN($D$4,F399+D400))</f>
        <v/>
      </c>
      <c r="D400" s="14">
        <f>IF($A400="","",F399*$B$6/12)</f>
        <v/>
      </c>
      <c r="E400" s="14">
        <f>IF($A400="","",C400-D400)</f>
        <v/>
      </c>
      <c r="F400" s="14">
        <f>IF($A400="","",F399-E400)</f>
        <v/>
      </c>
    </row>
    <row r="401">
      <c r="A401" s="12">
        <f>IF(381&gt;$B$5*12,"",381)</f>
        <v/>
      </c>
      <c r="B401" s="13">
        <f>IF($A401="","",EDATE($B$7,381))</f>
        <v/>
      </c>
      <c r="C401" s="14">
        <f>IF($A401="","",MIN($D$4,F400+D401))</f>
        <v/>
      </c>
      <c r="D401" s="14">
        <f>IF($A401="","",F400*$B$6/12)</f>
        <v/>
      </c>
      <c r="E401" s="14">
        <f>IF($A401="","",C401-D401)</f>
        <v/>
      </c>
      <c r="F401" s="14">
        <f>IF($A401="","",F400-E401)</f>
        <v/>
      </c>
    </row>
    <row r="402">
      <c r="A402" s="12">
        <f>IF(382&gt;$B$5*12,"",382)</f>
        <v/>
      </c>
      <c r="B402" s="13">
        <f>IF($A402="","",EDATE($B$7,382))</f>
        <v/>
      </c>
      <c r="C402" s="14">
        <f>IF($A402="","",MIN($D$4,F401+D402))</f>
        <v/>
      </c>
      <c r="D402" s="14">
        <f>IF($A402="","",F401*$B$6/12)</f>
        <v/>
      </c>
      <c r="E402" s="14">
        <f>IF($A402="","",C402-D402)</f>
        <v/>
      </c>
      <c r="F402" s="14">
        <f>IF($A402="","",F401-E402)</f>
        <v/>
      </c>
    </row>
    <row r="403">
      <c r="A403" s="12">
        <f>IF(383&gt;$B$5*12,"",383)</f>
        <v/>
      </c>
      <c r="B403" s="13">
        <f>IF($A403="","",EDATE($B$7,383))</f>
        <v/>
      </c>
      <c r="C403" s="14">
        <f>IF($A403="","",MIN($D$4,F402+D403))</f>
        <v/>
      </c>
      <c r="D403" s="14">
        <f>IF($A403="","",F402*$B$6/12)</f>
        <v/>
      </c>
      <c r="E403" s="14">
        <f>IF($A403="","",C403-D403)</f>
        <v/>
      </c>
      <c r="F403" s="14">
        <f>IF($A403="","",F402-E403)</f>
        <v/>
      </c>
    </row>
    <row r="404">
      <c r="A404" s="12">
        <f>IF(384&gt;$B$5*12,"",384)</f>
        <v/>
      </c>
      <c r="B404" s="13">
        <f>IF($A404="","",EDATE($B$7,384))</f>
        <v/>
      </c>
      <c r="C404" s="14">
        <f>IF($A404="","",MIN($D$4,F403+D404))</f>
        <v/>
      </c>
      <c r="D404" s="14">
        <f>IF($A404="","",F403*$B$6/12)</f>
        <v/>
      </c>
      <c r="E404" s="14">
        <f>IF($A404="","",C404-D404)</f>
        <v/>
      </c>
      <c r="F404" s="14">
        <f>IF($A404="","",F403-E404)</f>
        <v/>
      </c>
    </row>
    <row r="405">
      <c r="A405" s="12">
        <f>IF(385&gt;$B$5*12,"",385)</f>
        <v/>
      </c>
      <c r="B405" s="13">
        <f>IF($A405="","",EDATE($B$7,385))</f>
        <v/>
      </c>
      <c r="C405" s="14">
        <f>IF($A405="","",MIN($D$4,F404+D405))</f>
        <v/>
      </c>
      <c r="D405" s="14">
        <f>IF($A405="","",F404*$B$6/12)</f>
        <v/>
      </c>
      <c r="E405" s="14">
        <f>IF($A405="","",C405-D405)</f>
        <v/>
      </c>
      <c r="F405" s="14">
        <f>IF($A405="","",F404-E405)</f>
        <v/>
      </c>
    </row>
    <row r="406">
      <c r="A406" s="12">
        <f>IF(386&gt;$B$5*12,"",386)</f>
        <v/>
      </c>
      <c r="B406" s="13">
        <f>IF($A406="","",EDATE($B$7,386))</f>
        <v/>
      </c>
      <c r="C406" s="14">
        <f>IF($A406="","",MIN($D$4,F405+D406))</f>
        <v/>
      </c>
      <c r="D406" s="14">
        <f>IF($A406="","",F405*$B$6/12)</f>
        <v/>
      </c>
      <c r="E406" s="14">
        <f>IF($A406="","",C406-D406)</f>
        <v/>
      </c>
      <c r="F406" s="14">
        <f>IF($A406="","",F405-E406)</f>
        <v/>
      </c>
    </row>
    <row r="407">
      <c r="A407" s="12">
        <f>IF(387&gt;$B$5*12,"",387)</f>
        <v/>
      </c>
      <c r="B407" s="13">
        <f>IF($A407="","",EDATE($B$7,387))</f>
        <v/>
      </c>
      <c r="C407" s="14">
        <f>IF($A407="","",MIN($D$4,F406+D407))</f>
        <v/>
      </c>
      <c r="D407" s="14">
        <f>IF($A407="","",F406*$B$6/12)</f>
        <v/>
      </c>
      <c r="E407" s="14">
        <f>IF($A407="","",C407-D407)</f>
        <v/>
      </c>
      <c r="F407" s="14">
        <f>IF($A407="","",F406-E407)</f>
        <v/>
      </c>
    </row>
    <row r="408">
      <c r="A408" s="12">
        <f>IF(388&gt;$B$5*12,"",388)</f>
        <v/>
      </c>
      <c r="B408" s="13">
        <f>IF($A408="","",EDATE($B$7,388))</f>
        <v/>
      </c>
      <c r="C408" s="14">
        <f>IF($A408="","",MIN($D$4,F407+D408))</f>
        <v/>
      </c>
      <c r="D408" s="14">
        <f>IF($A408="","",F407*$B$6/12)</f>
        <v/>
      </c>
      <c r="E408" s="14">
        <f>IF($A408="","",C408-D408)</f>
        <v/>
      </c>
      <c r="F408" s="14">
        <f>IF($A408="","",F407-E408)</f>
        <v/>
      </c>
    </row>
    <row r="409">
      <c r="A409" s="12">
        <f>IF(389&gt;$B$5*12,"",389)</f>
        <v/>
      </c>
      <c r="B409" s="13">
        <f>IF($A409="","",EDATE($B$7,389))</f>
        <v/>
      </c>
      <c r="C409" s="14">
        <f>IF($A409="","",MIN($D$4,F408+D409))</f>
        <v/>
      </c>
      <c r="D409" s="14">
        <f>IF($A409="","",F408*$B$6/12)</f>
        <v/>
      </c>
      <c r="E409" s="14">
        <f>IF($A409="","",C409-D409)</f>
        <v/>
      </c>
      <c r="F409" s="14">
        <f>IF($A409="","",F408-E409)</f>
        <v/>
      </c>
    </row>
    <row r="410">
      <c r="A410" s="12">
        <f>IF(390&gt;$B$5*12,"",390)</f>
        <v/>
      </c>
      <c r="B410" s="13">
        <f>IF($A410="","",EDATE($B$7,390))</f>
        <v/>
      </c>
      <c r="C410" s="14">
        <f>IF($A410="","",MIN($D$4,F409+D410))</f>
        <v/>
      </c>
      <c r="D410" s="14">
        <f>IF($A410="","",F409*$B$6/12)</f>
        <v/>
      </c>
      <c r="E410" s="14">
        <f>IF($A410="","",C410-D410)</f>
        <v/>
      </c>
      <c r="F410" s="14">
        <f>IF($A410="","",F409-E410)</f>
        <v/>
      </c>
    </row>
    <row r="411">
      <c r="A411" s="12">
        <f>IF(391&gt;$B$5*12,"",391)</f>
        <v/>
      </c>
      <c r="B411" s="13">
        <f>IF($A411="","",EDATE($B$7,391))</f>
        <v/>
      </c>
      <c r="C411" s="14">
        <f>IF($A411="","",MIN($D$4,F410+D411))</f>
        <v/>
      </c>
      <c r="D411" s="14">
        <f>IF($A411="","",F410*$B$6/12)</f>
        <v/>
      </c>
      <c r="E411" s="14">
        <f>IF($A411="","",C411-D411)</f>
        <v/>
      </c>
      <c r="F411" s="14">
        <f>IF($A411="","",F410-E411)</f>
        <v/>
      </c>
    </row>
    <row r="412">
      <c r="A412" s="12">
        <f>IF(392&gt;$B$5*12,"",392)</f>
        <v/>
      </c>
      <c r="B412" s="13">
        <f>IF($A412="","",EDATE($B$7,392))</f>
        <v/>
      </c>
      <c r="C412" s="14">
        <f>IF($A412="","",MIN($D$4,F411+D412))</f>
        <v/>
      </c>
      <c r="D412" s="14">
        <f>IF($A412="","",F411*$B$6/12)</f>
        <v/>
      </c>
      <c r="E412" s="14">
        <f>IF($A412="","",C412-D412)</f>
        <v/>
      </c>
      <c r="F412" s="14">
        <f>IF($A412="","",F411-E412)</f>
        <v/>
      </c>
    </row>
    <row r="413">
      <c r="A413" s="12">
        <f>IF(393&gt;$B$5*12,"",393)</f>
        <v/>
      </c>
      <c r="B413" s="13">
        <f>IF($A413="","",EDATE($B$7,393))</f>
        <v/>
      </c>
      <c r="C413" s="14">
        <f>IF($A413="","",MIN($D$4,F412+D413))</f>
        <v/>
      </c>
      <c r="D413" s="14">
        <f>IF($A413="","",F412*$B$6/12)</f>
        <v/>
      </c>
      <c r="E413" s="14">
        <f>IF($A413="","",C413-D413)</f>
        <v/>
      </c>
      <c r="F413" s="14">
        <f>IF($A413="","",F412-E413)</f>
        <v/>
      </c>
    </row>
    <row r="414">
      <c r="A414" s="12">
        <f>IF(394&gt;$B$5*12,"",394)</f>
        <v/>
      </c>
      <c r="B414" s="13">
        <f>IF($A414="","",EDATE($B$7,394))</f>
        <v/>
      </c>
      <c r="C414" s="14">
        <f>IF($A414="","",MIN($D$4,F413+D414))</f>
        <v/>
      </c>
      <c r="D414" s="14">
        <f>IF($A414="","",F413*$B$6/12)</f>
        <v/>
      </c>
      <c r="E414" s="14">
        <f>IF($A414="","",C414-D414)</f>
        <v/>
      </c>
      <c r="F414" s="14">
        <f>IF($A414="","",F413-E414)</f>
        <v/>
      </c>
    </row>
    <row r="415">
      <c r="A415" s="12">
        <f>IF(395&gt;$B$5*12,"",395)</f>
        <v/>
      </c>
      <c r="B415" s="13">
        <f>IF($A415="","",EDATE($B$7,395))</f>
        <v/>
      </c>
      <c r="C415" s="14">
        <f>IF($A415="","",MIN($D$4,F414+D415))</f>
        <v/>
      </c>
      <c r="D415" s="14">
        <f>IF($A415="","",F414*$B$6/12)</f>
        <v/>
      </c>
      <c r="E415" s="14">
        <f>IF($A415="","",C415-D415)</f>
        <v/>
      </c>
      <c r="F415" s="14">
        <f>IF($A415="","",F414-E415)</f>
        <v/>
      </c>
    </row>
    <row r="416">
      <c r="A416" s="12">
        <f>IF(396&gt;$B$5*12,"",396)</f>
        <v/>
      </c>
      <c r="B416" s="13">
        <f>IF($A416="","",EDATE($B$7,396))</f>
        <v/>
      </c>
      <c r="C416" s="14">
        <f>IF($A416="","",MIN($D$4,F415+D416))</f>
        <v/>
      </c>
      <c r="D416" s="14">
        <f>IF($A416="","",F415*$B$6/12)</f>
        <v/>
      </c>
      <c r="E416" s="14">
        <f>IF($A416="","",C416-D416)</f>
        <v/>
      </c>
      <c r="F416" s="14">
        <f>IF($A416="","",F415-E416)</f>
        <v/>
      </c>
    </row>
    <row r="417">
      <c r="A417" s="12">
        <f>IF(397&gt;$B$5*12,"",397)</f>
        <v/>
      </c>
      <c r="B417" s="13">
        <f>IF($A417="","",EDATE($B$7,397))</f>
        <v/>
      </c>
      <c r="C417" s="14">
        <f>IF($A417="","",MIN($D$4,F416+D417))</f>
        <v/>
      </c>
      <c r="D417" s="14">
        <f>IF($A417="","",F416*$B$6/12)</f>
        <v/>
      </c>
      <c r="E417" s="14">
        <f>IF($A417="","",C417-D417)</f>
        <v/>
      </c>
      <c r="F417" s="14">
        <f>IF($A417="","",F416-E417)</f>
        <v/>
      </c>
    </row>
    <row r="418">
      <c r="A418" s="12">
        <f>IF(398&gt;$B$5*12,"",398)</f>
        <v/>
      </c>
      <c r="B418" s="13">
        <f>IF($A418="","",EDATE($B$7,398))</f>
        <v/>
      </c>
      <c r="C418" s="14">
        <f>IF($A418="","",MIN($D$4,F417+D418))</f>
        <v/>
      </c>
      <c r="D418" s="14">
        <f>IF($A418="","",F417*$B$6/12)</f>
        <v/>
      </c>
      <c r="E418" s="14">
        <f>IF($A418="","",C418-D418)</f>
        <v/>
      </c>
      <c r="F418" s="14">
        <f>IF($A418="","",F417-E418)</f>
        <v/>
      </c>
    </row>
    <row r="419">
      <c r="A419" s="12">
        <f>IF(399&gt;$B$5*12,"",399)</f>
        <v/>
      </c>
      <c r="B419" s="13">
        <f>IF($A419="","",EDATE($B$7,399))</f>
        <v/>
      </c>
      <c r="C419" s="14">
        <f>IF($A419="","",MIN($D$4,F418+D419))</f>
        <v/>
      </c>
      <c r="D419" s="14">
        <f>IF($A419="","",F418*$B$6/12)</f>
        <v/>
      </c>
      <c r="E419" s="14">
        <f>IF($A419="","",C419-D419)</f>
        <v/>
      </c>
      <c r="F419" s="14">
        <f>IF($A419="","",F418-E419)</f>
        <v/>
      </c>
    </row>
    <row r="420">
      <c r="A420" s="12">
        <f>IF(400&gt;$B$5*12,"",400)</f>
        <v/>
      </c>
      <c r="B420" s="13">
        <f>IF($A420="","",EDATE($B$7,400))</f>
        <v/>
      </c>
      <c r="C420" s="14">
        <f>IF($A420="","",MIN($D$4,F419+D420))</f>
        <v/>
      </c>
      <c r="D420" s="14">
        <f>IF($A420="","",F419*$B$6/12)</f>
        <v/>
      </c>
      <c r="E420" s="14">
        <f>IF($A420="","",C420-D420)</f>
        <v/>
      </c>
      <c r="F420" s="14">
        <f>IF($A420="","",F419-E420)</f>
        <v/>
      </c>
    </row>
    <row r="421">
      <c r="A421" s="12">
        <f>IF(401&gt;$B$5*12,"",401)</f>
        <v/>
      </c>
      <c r="B421" s="13">
        <f>IF($A421="","",EDATE($B$7,401))</f>
        <v/>
      </c>
      <c r="C421" s="14">
        <f>IF($A421="","",MIN($D$4,F420+D421))</f>
        <v/>
      </c>
      <c r="D421" s="14">
        <f>IF($A421="","",F420*$B$6/12)</f>
        <v/>
      </c>
      <c r="E421" s="14">
        <f>IF($A421="","",C421-D421)</f>
        <v/>
      </c>
      <c r="F421" s="14">
        <f>IF($A421="","",F420-E421)</f>
        <v/>
      </c>
    </row>
    <row r="422">
      <c r="A422" s="12">
        <f>IF(402&gt;$B$5*12,"",402)</f>
        <v/>
      </c>
      <c r="B422" s="13">
        <f>IF($A422="","",EDATE($B$7,402))</f>
        <v/>
      </c>
      <c r="C422" s="14">
        <f>IF($A422="","",MIN($D$4,F421+D422))</f>
        <v/>
      </c>
      <c r="D422" s="14">
        <f>IF($A422="","",F421*$B$6/12)</f>
        <v/>
      </c>
      <c r="E422" s="14">
        <f>IF($A422="","",C422-D422)</f>
        <v/>
      </c>
      <c r="F422" s="14">
        <f>IF($A422="","",F421-E422)</f>
        <v/>
      </c>
    </row>
    <row r="423">
      <c r="A423" s="12">
        <f>IF(403&gt;$B$5*12,"",403)</f>
        <v/>
      </c>
      <c r="B423" s="13">
        <f>IF($A423="","",EDATE($B$7,403))</f>
        <v/>
      </c>
      <c r="C423" s="14">
        <f>IF($A423="","",MIN($D$4,F422+D423))</f>
        <v/>
      </c>
      <c r="D423" s="14">
        <f>IF($A423="","",F422*$B$6/12)</f>
        <v/>
      </c>
      <c r="E423" s="14">
        <f>IF($A423="","",C423-D423)</f>
        <v/>
      </c>
      <c r="F423" s="14">
        <f>IF($A423="","",F422-E423)</f>
        <v/>
      </c>
    </row>
    <row r="424">
      <c r="A424" s="12">
        <f>IF(404&gt;$B$5*12,"",404)</f>
        <v/>
      </c>
      <c r="B424" s="13">
        <f>IF($A424="","",EDATE($B$7,404))</f>
        <v/>
      </c>
      <c r="C424" s="14">
        <f>IF($A424="","",MIN($D$4,F423+D424))</f>
        <v/>
      </c>
      <c r="D424" s="14">
        <f>IF($A424="","",F423*$B$6/12)</f>
        <v/>
      </c>
      <c r="E424" s="14">
        <f>IF($A424="","",C424-D424)</f>
        <v/>
      </c>
      <c r="F424" s="14">
        <f>IF($A424="","",F423-E424)</f>
        <v/>
      </c>
    </row>
    <row r="425">
      <c r="A425" s="12">
        <f>IF(405&gt;$B$5*12,"",405)</f>
        <v/>
      </c>
      <c r="B425" s="13">
        <f>IF($A425="","",EDATE($B$7,405))</f>
        <v/>
      </c>
      <c r="C425" s="14">
        <f>IF($A425="","",MIN($D$4,F424+D425))</f>
        <v/>
      </c>
      <c r="D425" s="14">
        <f>IF($A425="","",F424*$B$6/12)</f>
        <v/>
      </c>
      <c r="E425" s="14">
        <f>IF($A425="","",C425-D425)</f>
        <v/>
      </c>
      <c r="F425" s="14">
        <f>IF($A425="","",F424-E425)</f>
        <v/>
      </c>
    </row>
    <row r="426">
      <c r="A426" s="12">
        <f>IF(406&gt;$B$5*12,"",406)</f>
        <v/>
      </c>
      <c r="B426" s="13">
        <f>IF($A426="","",EDATE($B$7,406))</f>
        <v/>
      </c>
      <c r="C426" s="14">
        <f>IF($A426="","",MIN($D$4,F425+D426))</f>
        <v/>
      </c>
      <c r="D426" s="14">
        <f>IF($A426="","",F425*$B$6/12)</f>
        <v/>
      </c>
      <c r="E426" s="14">
        <f>IF($A426="","",C426-D426)</f>
        <v/>
      </c>
      <c r="F426" s="14">
        <f>IF($A426="","",F425-E426)</f>
        <v/>
      </c>
    </row>
    <row r="427">
      <c r="A427" s="12">
        <f>IF(407&gt;$B$5*12,"",407)</f>
        <v/>
      </c>
      <c r="B427" s="13">
        <f>IF($A427="","",EDATE($B$7,407))</f>
        <v/>
      </c>
      <c r="C427" s="14">
        <f>IF($A427="","",MIN($D$4,F426+D427))</f>
        <v/>
      </c>
      <c r="D427" s="14">
        <f>IF($A427="","",F426*$B$6/12)</f>
        <v/>
      </c>
      <c r="E427" s="14">
        <f>IF($A427="","",C427-D427)</f>
        <v/>
      </c>
      <c r="F427" s="14">
        <f>IF($A427="","",F426-E427)</f>
        <v/>
      </c>
    </row>
    <row r="428">
      <c r="A428" s="12">
        <f>IF(408&gt;$B$5*12,"",408)</f>
        <v/>
      </c>
      <c r="B428" s="13">
        <f>IF($A428="","",EDATE($B$7,408))</f>
        <v/>
      </c>
      <c r="C428" s="14">
        <f>IF($A428="","",MIN($D$4,F427+D428))</f>
        <v/>
      </c>
      <c r="D428" s="14">
        <f>IF($A428="","",F427*$B$6/12)</f>
        <v/>
      </c>
      <c r="E428" s="14">
        <f>IF($A428="","",C428-D428)</f>
        <v/>
      </c>
      <c r="F428" s="14">
        <f>IF($A428="","",F427-E428)</f>
        <v/>
      </c>
    </row>
    <row r="429">
      <c r="A429" s="12">
        <f>IF(409&gt;$B$5*12,"",409)</f>
        <v/>
      </c>
      <c r="B429" s="13">
        <f>IF($A429="","",EDATE($B$7,409))</f>
        <v/>
      </c>
      <c r="C429" s="14">
        <f>IF($A429="","",MIN($D$4,F428+D429))</f>
        <v/>
      </c>
      <c r="D429" s="14">
        <f>IF($A429="","",F428*$B$6/12)</f>
        <v/>
      </c>
      <c r="E429" s="14">
        <f>IF($A429="","",C429-D429)</f>
        <v/>
      </c>
      <c r="F429" s="14">
        <f>IF($A429="","",F428-E429)</f>
        <v/>
      </c>
    </row>
    <row r="430">
      <c r="A430" s="12">
        <f>IF(410&gt;$B$5*12,"",410)</f>
        <v/>
      </c>
      <c r="B430" s="13">
        <f>IF($A430="","",EDATE($B$7,410))</f>
        <v/>
      </c>
      <c r="C430" s="14">
        <f>IF($A430="","",MIN($D$4,F429+D430))</f>
        <v/>
      </c>
      <c r="D430" s="14">
        <f>IF($A430="","",F429*$B$6/12)</f>
        <v/>
      </c>
      <c r="E430" s="14">
        <f>IF($A430="","",C430-D430)</f>
        <v/>
      </c>
      <c r="F430" s="14">
        <f>IF($A430="","",F429-E430)</f>
        <v/>
      </c>
    </row>
    <row r="431">
      <c r="A431" s="12">
        <f>IF(411&gt;$B$5*12,"",411)</f>
        <v/>
      </c>
      <c r="B431" s="13">
        <f>IF($A431="","",EDATE($B$7,411))</f>
        <v/>
      </c>
      <c r="C431" s="14">
        <f>IF($A431="","",MIN($D$4,F430+D431))</f>
        <v/>
      </c>
      <c r="D431" s="14">
        <f>IF($A431="","",F430*$B$6/12)</f>
        <v/>
      </c>
      <c r="E431" s="14">
        <f>IF($A431="","",C431-D431)</f>
        <v/>
      </c>
      <c r="F431" s="14">
        <f>IF($A431="","",F430-E431)</f>
        <v/>
      </c>
    </row>
    <row r="432">
      <c r="A432" s="12">
        <f>IF(412&gt;$B$5*12,"",412)</f>
        <v/>
      </c>
      <c r="B432" s="13">
        <f>IF($A432="","",EDATE($B$7,412))</f>
        <v/>
      </c>
      <c r="C432" s="14">
        <f>IF($A432="","",MIN($D$4,F431+D432))</f>
        <v/>
      </c>
      <c r="D432" s="14">
        <f>IF($A432="","",F431*$B$6/12)</f>
        <v/>
      </c>
      <c r="E432" s="14">
        <f>IF($A432="","",C432-D432)</f>
        <v/>
      </c>
      <c r="F432" s="14">
        <f>IF($A432="","",F431-E432)</f>
        <v/>
      </c>
    </row>
    <row r="433">
      <c r="A433" s="12">
        <f>IF(413&gt;$B$5*12,"",413)</f>
        <v/>
      </c>
      <c r="B433" s="13">
        <f>IF($A433="","",EDATE($B$7,413))</f>
        <v/>
      </c>
      <c r="C433" s="14">
        <f>IF($A433="","",MIN($D$4,F432+D433))</f>
        <v/>
      </c>
      <c r="D433" s="14">
        <f>IF($A433="","",F432*$B$6/12)</f>
        <v/>
      </c>
      <c r="E433" s="14">
        <f>IF($A433="","",C433-D433)</f>
        <v/>
      </c>
      <c r="F433" s="14">
        <f>IF($A433="","",F432-E433)</f>
        <v/>
      </c>
    </row>
    <row r="434">
      <c r="A434" s="12">
        <f>IF(414&gt;$B$5*12,"",414)</f>
        <v/>
      </c>
      <c r="B434" s="13">
        <f>IF($A434="","",EDATE($B$7,414))</f>
        <v/>
      </c>
      <c r="C434" s="14">
        <f>IF($A434="","",MIN($D$4,F433+D434))</f>
        <v/>
      </c>
      <c r="D434" s="14">
        <f>IF($A434="","",F433*$B$6/12)</f>
        <v/>
      </c>
      <c r="E434" s="14">
        <f>IF($A434="","",C434-D434)</f>
        <v/>
      </c>
      <c r="F434" s="14">
        <f>IF($A434="","",F433-E434)</f>
        <v/>
      </c>
    </row>
    <row r="435">
      <c r="A435" s="12">
        <f>IF(415&gt;$B$5*12,"",415)</f>
        <v/>
      </c>
      <c r="B435" s="13">
        <f>IF($A435="","",EDATE($B$7,415))</f>
        <v/>
      </c>
      <c r="C435" s="14">
        <f>IF($A435="","",MIN($D$4,F434+D435))</f>
        <v/>
      </c>
      <c r="D435" s="14">
        <f>IF($A435="","",F434*$B$6/12)</f>
        <v/>
      </c>
      <c r="E435" s="14">
        <f>IF($A435="","",C435-D435)</f>
        <v/>
      </c>
      <c r="F435" s="14">
        <f>IF($A435="","",F434-E435)</f>
        <v/>
      </c>
    </row>
    <row r="436">
      <c r="A436" s="12">
        <f>IF(416&gt;$B$5*12,"",416)</f>
        <v/>
      </c>
      <c r="B436" s="13">
        <f>IF($A436="","",EDATE($B$7,416))</f>
        <v/>
      </c>
      <c r="C436" s="14">
        <f>IF($A436="","",MIN($D$4,F435+D436))</f>
        <v/>
      </c>
      <c r="D436" s="14">
        <f>IF($A436="","",F435*$B$6/12)</f>
        <v/>
      </c>
      <c r="E436" s="14">
        <f>IF($A436="","",C436-D436)</f>
        <v/>
      </c>
      <c r="F436" s="14">
        <f>IF($A436="","",F435-E436)</f>
        <v/>
      </c>
    </row>
    <row r="437">
      <c r="A437" s="12">
        <f>IF(417&gt;$B$5*12,"",417)</f>
        <v/>
      </c>
      <c r="B437" s="13">
        <f>IF($A437="","",EDATE($B$7,417))</f>
        <v/>
      </c>
      <c r="C437" s="14">
        <f>IF($A437="","",MIN($D$4,F436+D437))</f>
        <v/>
      </c>
      <c r="D437" s="14">
        <f>IF($A437="","",F436*$B$6/12)</f>
        <v/>
      </c>
      <c r="E437" s="14">
        <f>IF($A437="","",C437-D437)</f>
        <v/>
      </c>
      <c r="F437" s="14">
        <f>IF($A437="","",F436-E437)</f>
        <v/>
      </c>
    </row>
    <row r="438">
      <c r="A438" s="12">
        <f>IF(418&gt;$B$5*12,"",418)</f>
        <v/>
      </c>
      <c r="B438" s="13">
        <f>IF($A438="","",EDATE($B$7,418))</f>
        <v/>
      </c>
      <c r="C438" s="14">
        <f>IF($A438="","",MIN($D$4,F437+D438))</f>
        <v/>
      </c>
      <c r="D438" s="14">
        <f>IF($A438="","",F437*$B$6/12)</f>
        <v/>
      </c>
      <c r="E438" s="14">
        <f>IF($A438="","",C438-D438)</f>
        <v/>
      </c>
      <c r="F438" s="14">
        <f>IF($A438="","",F437-E438)</f>
        <v/>
      </c>
    </row>
    <row r="439">
      <c r="A439" s="12">
        <f>IF(419&gt;$B$5*12,"",419)</f>
        <v/>
      </c>
      <c r="B439" s="13">
        <f>IF($A439="","",EDATE($B$7,419))</f>
        <v/>
      </c>
      <c r="C439" s="14">
        <f>IF($A439="","",MIN($D$4,F438+D439))</f>
        <v/>
      </c>
      <c r="D439" s="14">
        <f>IF($A439="","",F438*$B$6/12)</f>
        <v/>
      </c>
      <c r="E439" s="14">
        <f>IF($A439="","",C439-D439)</f>
        <v/>
      </c>
      <c r="F439" s="14">
        <f>IF($A439="","",F438-E439)</f>
        <v/>
      </c>
    </row>
    <row r="440">
      <c r="A440" s="12">
        <f>IF(420&gt;$B$5*12,"",420)</f>
        <v/>
      </c>
      <c r="B440" s="13">
        <f>IF($A440="","",EDATE($B$7,420))</f>
        <v/>
      </c>
      <c r="C440" s="14">
        <f>IF($A440="","",MIN($D$4,F439+D440))</f>
        <v/>
      </c>
      <c r="D440" s="14">
        <f>IF($A440="","",F439*$B$6/12)</f>
        <v/>
      </c>
      <c r="E440" s="14">
        <f>IF($A440="","",C440-D440)</f>
        <v/>
      </c>
      <c r="F440" s="14">
        <f>IF($A440="","",F439-E440)</f>
        <v/>
      </c>
    </row>
    <row r="441">
      <c r="A441" s="12">
        <f>IF(421&gt;$B$5*12,"",421)</f>
        <v/>
      </c>
      <c r="B441" s="13">
        <f>IF($A441="","",EDATE($B$7,421))</f>
        <v/>
      </c>
      <c r="C441" s="14">
        <f>IF($A441="","",MIN($D$4,F440+D441))</f>
        <v/>
      </c>
      <c r="D441" s="14">
        <f>IF($A441="","",F440*$B$6/12)</f>
        <v/>
      </c>
      <c r="E441" s="14">
        <f>IF($A441="","",C441-D441)</f>
        <v/>
      </c>
      <c r="F441" s="14">
        <f>IF($A441="","",F440-E441)</f>
        <v/>
      </c>
    </row>
    <row r="442">
      <c r="A442" s="12">
        <f>IF(422&gt;$B$5*12,"",422)</f>
        <v/>
      </c>
      <c r="B442" s="13">
        <f>IF($A442="","",EDATE($B$7,422))</f>
        <v/>
      </c>
      <c r="C442" s="14">
        <f>IF($A442="","",MIN($D$4,F441+D442))</f>
        <v/>
      </c>
      <c r="D442" s="14">
        <f>IF($A442="","",F441*$B$6/12)</f>
        <v/>
      </c>
      <c r="E442" s="14">
        <f>IF($A442="","",C442-D442)</f>
        <v/>
      </c>
      <c r="F442" s="14">
        <f>IF($A442="","",F441-E442)</f>
        <v/>
      </c>
    </row>
    <row r="443">
      <c r="A443" s="12">
        <f>IF(423&gt;$B$5*12,"",423)</f>
        <v/>
      </c>
      <c r="B443" s="13">
        <f>IF($A443="","",EDATE($B$7,423))</f>
        <v/>
      </c>
      <c r="C443" s="14">
        <f>IF($A443="","",MIN($D$4,F442+D443))</f>
        <v/>
      </c>
      <c r="D443" s="14">
        <f>IF($A443="","",F442*$B$6/12)</f>
        <v/>
      </c>
      <c r="E443" s="14">
        <f>IF($A443="","",C443-D443)</f>
        <v/>
      </c>
      <c r="F443" s="14">
        <f>IF($A443="","",F442-E443)</f>
        <v/>
      </c>
    </row>
    <row r="444">
      <c r="A444" s="12">
        <f>IF(424&gt;$B$5*12,"",424)</f>
        <v/>
      </c>
      <c r="B444" s="13">
        <f>IF($A444="","",EDATE($B$7,424))</f>
        <v/>
      </c>
      <c r="C444" s="14">
        <f>IF($A444="","",MIN($D$4,F443+D444))</f>
        <v/>
      </c>
      <c r="D444" s="14">
        <f>IF($A444="","",F443*$B$6/12)</f>
        <v/>
      </c>
      <c r="E444" s="14">
        <f>IF($A444="","",C444-D444)</f>
        <v/>
      </c>
      <c r="F444" s="14">
        <f>IF($A444="","",F443-E444)</f>
        <v/>
      </c>
    </row>
    <row r="445">
      <c r="A445" s="12">
        <f>IF(425&gt;$B$5*12,"",425)</f>
        <v/>
      </c>
      <c r="B445" s="13">
        <f>IF($A445="","",EDATE($B$7,425))</f>
        <v/>
      </c>
      <c r="C445" s="14">
        <f>IF($A445="","",MIN($D$4,F444+D445))</f>
        <v/>
      </c>
      <c r="D445" s="14">
        <f>IF($A445="","",F444*$B$6/12)</f>
        <v/>
      </c>
      <c r="E445" s="14">
        <f>IF($A445="","",C445-D445)</f>
        <v/>
      </c>
      <c r="F445" s="14">
        <f>IF($A445="","",F444-E445)</f>
        <v/>
      </c>
    </row>
    <row r="446">
      <c r="A446" s="12">
        <f>IF(426&gt;$B$5*12,"",426)</f>
        <v/>
      </c>
      <c r="B446" s="13">
        <f>IF($A446="","",EDATE($B$7,426))</f>
        <v/>
      </c>
      <c r="C446" s="14">
        <f>IF($A446="","",MIN($D$4,F445+D446))</f>
        <v/>
      </c>
      <c r="D446" s="14">
        <f>IF($A446="","",F445*$B$6/12)</f>
        <v/>
      </c>
      <c r="E446" s="14">
        <f>IF($A446="","",C446-D446)</f>
        <v/>
      </c>
      <c r="F446" s="14">
        <f>IF($A446="","",F445-E446)</f>
        <v/>
      </c>
    </row>
    <row r="447">
      <c r="A447" s="12">
        <f>IF(427&gt;$B$5*12,"",427)</f>
        <v/>
      </c>
      <c r="B447" s="13">
        <f>IF($A447="","",EDATE($B$7,427))</f>
        <v/>
      </c>
      <c r="C447" s="14">
        <f>IF($A447="","",MIN($D$4,F446+D447))</f>
        <v/>
      </c>
      <c r="D447" s="14">
        <f>IF($A447="","",F446*$B$6/12)</f>
        <v/>
      </c>
      <c r="E447" s="14">
        <f>IF($A447="","",C447-D447)</f>
        <v/>
      </c>
      <c r="F447" s="14">
        <f>IF($A447="","",F446-E447)</f>
        <v/>
      </c>
    </row>
    <row r="448">
      <c r="A448" s="12">
        <f>IF(428&gt;$B$5*12,"",428)</f>
        <v/>
      </c>
      <c r="B448" s="13">
        <f>IF($A448="","",EDATE($B$7,428))</f>
        <v/>
      </c>
      <c r="C448" s="14">
        <f>IF($A448="","",MIN($D$4,F447+D448))</f>
        <v/>
      </c>
      <c r="D448" s="14">
        <f>IF($A448="","",F447*$B$6/12)</f>
        <v/>
      </c>
      <c r="E448" s="14">
        <f>IF($A448="","",C448-D448)</f>
        <v/>
      </c>
      <c r="F448" s="14">
        <f>IF($A448="","",F447-E448)</f>
        <v/>
      </c>
    </row>
    <row r="449">
      <c r="A449" s="12">
        <f>IF(429&gt;$B$5*12,"",429)</f>
        <v/>
      </c>
      <c r="B449" s="13">
        <f>IF($A449="","",EDATE($B$7,429))</f>
        <v/>
      </c>
      <c r="C449" s="14">
        <f>IF($A449="","",MIN($D$4,F448+D449))</f>
        <v/>
      </c>
      <c r="D449" s="14">
        <f>IF($A449="","",F448*$B$6/12)</f>
        <v/>
      </c>
      <c r="E449" s="14">
        <f>IF($A449="","",C449-D449)</f>
        <v/>
      </c>
      <c r="F449" s="14">
        <f>IF($A449="","",F448-E449)</f>
        <v/>
      </c>
    </row>
    <row r="450">
      <c r="A450" s="12">
        <f>IF(430&gt;$B$5*12,"",430)</f>
        <v/>
      </c>
      <c r="B450" s="13">
        <f>IF($A450="","",EDATE($B$7,430))</f>
        <v/>
      </c>
      <c r="C450" s="14">
        <f>IF($A450="","",MIN($D$4,F449+D450))</f>
        <v/>
      </c>
      <c r="D450" s="14">
        <f>IF($A450="","",F449*$B$6/12)</f>
        <v/>
      </c>
      <c r="E450" s="14">
        <f>IF($A450="","",C450-D450)</f>
        <v/>
      </c>
      <c r="F450" s="14">
        <f>IF($A450="","",F449-E450)</f>
        <v/>
      </c>
    </row>
    <row r="451">
      <c r="A451" s="12">
        <f>IF(431&gt;$B$5*12,"",431)</f>
        <v/>
      </c>
      <c r="B451" s="13">
        <f>IF($A451="","",EDATE($B$7,431))</f>
        <v/>
      </c>
      <c r="C451" s="14">
        <f>IF($A451="","",MIN($D$4,F450+D451))</f>
        <v/>
      </c>
      <c r="D451" s="14">
        <f>IF($A451="","",F450*$B$6/12)</f>
        <v/>
      </c>
      <c r="E451" s="14">
        <f>IF($A451="","",C451-D451)</f>
        <v/>
      </c>
      <c r="F451" s="14">
        <f>IF($A451="","",F450-E451)</f>
        <v/>
      </c>
    </row>
    <row r="452">
      <c r="A452" s="12">
        <f>IF(432&gt;$B$5*12,"",432)</f>
        <v/>
      </c>
      <c r="B452" s="13">
        <f>IF($A452="","",EDATE($B$7,432))</f>
        <v/>
      </c>
      <c r="C452" s="14">
        <f>IF($A452="","",MIN($D$4,F451+D452))</f>
        <v/>
      </c>
      <c r="D452" s="14">
        <f>IF($A452="","",F451*$B$6/12)</f>
        <v/>
      </c>
      <c r="E452" s="14">
        <f>IF($A452="","",C452-D452)</f>
        <v/>
      </c>
      <c r="F452" s="14">
        <f>IF($A452="","",F451-E452)</f>
        <v/>
      </c>
    </row>
    <row r="453">
      <c r="A453" s="12">
        <f>IF(433&gt;$B$5*12,"",433)</f>
        <v/>
      </c>
      <c r="B453" s="13">
        <f>IF($A453="","",EDATE($B$7,433))</f>
        <v/>
      </c>
      <c r="C453" s="14">
        <f>IF($A453="","",MIN($D$4,F452+D453))</f>
        <v/>
      </c>
      <c r="D453" s="14">
        <f>IF($A453="","",F452*$B$6/12)</f>
        <v/>
      </c>
      <c r="E453" s="14">
        <f>IF($A453="","",C453-D453)</f>
        <v/>
      </c>
      <c r="F453" s="14">
        <f>IF($A453="","",F452-E453)</f>
        <v/>
      </c>
    </row>
    <row r="454">
      <c r="A454" s="12">
        <f>IF(434&gt;$B$5*12,"",434)</f>
        <v/>
      </c>
      <c r="B454" s="13">
        <f>IF($A454="","",EDATE($B$7,434))</f>
        <v/>
      </c>
      <c r="C454" s="14">
        <f>IF($A454="","",MIN($D$4,F453+D454))</f>
        <v/>
      </c>
      <c r="D454" s="14">
        <f>IF($A454="","",F453*$B$6/12)</f>
        <v/>
      </c>
      <c r="E454" s="14">
        <f>IF($A454="","",C454-D454)</f>
        <v/>
      </c>
      <c r="F454" s="14">
        <f>IF($A454="","",F453-E454)</f>
        <v/>
      </c>
    </row>
    <row r="455">
      <c r="A455" s="12">
        <f>IF(435&gt;$B$5*12,"",435)</f>
        <v/>
      </c>
      <c r="B455" s="13">
        <f>IF($A455="","",EDATE($B$7,435))</f>
        <v/>
      </c>
      <c r="C455" s="14">
        <f>IF($A455="","",MIN($D$4,F454+D455))</f>
        <v/>
      </c>
      <c r="D455" s="14">
        <f>IF($A455="","",F454*$B$6/12)</f>
        <v/>
      </c>
      <c r="E455" s="14">
        <f>IF($A455="","",C455-D455)</f>
        <v/>
      </c>
      <c r="F455" s="14">
        <f>IF($A455="","",F454-E455)</f>
        <v/>
      </c>
    </row>
    <row r="456">
      <c r="A456" s="12">
        <f>IF(436&gt;$B$5*12,"",436)</f>
        <v/>
      </c>
      <c r="B456" s="13">
        <f>IF($A456="","",EDATE($B$7,436))</f>
        <v/>
      </c>
      <c r="C456" s="14">
        <f>IF($A456="","",MIN($D$4,F455+D456))</f>
        <v/>
      </c>
      <c r="D456" s="14">
        <f>IF($A456="","",F455*$B$6/12)</f>
        <v/>
      </c>
      <c r="E456" s="14">
        <f>IF($A456="","",C456-D456)</f>
        <v/>
      </c>
      <c r="F456" s="14">
        <f>IF($A456="","",F455-E456)</f>
        <v/>
      </c>
    </row>
    <row r="457">
      <c r="A457" s="12">
        <f>IF(437&gt;$B$5*12,"",437)</f>
        <v/>
      </c>
      <c r="B457" s="13">
        <f>IF($A457="","",EDATE($B$7,437))</f>
        <v/>
      </c>
      <c r="C457" s="14">
        <f>IF($A457="","",MIN($D$4,F456+D457))</f>
        <v/>
      </c>
      <c r="D457" s="14">
        <f>IF($A457="","",F456*$B$6/12)</f>
        <v/>
      </c>
      <c r="E457" s="14">
        <f>IF($A457="","",C457-D457)</f>
        <v/>
      </c>
      <c r="F457" s="14">
        <f>IF($A457="","",F456-E457)</f>
        <v/>
      </c>
    </row>
    <row r="458">
      <c r="A458" s="12">
        <f>IF(438&gt;$B$5*12,"",438)</f>
        <v/>
      </c>
      <c r="B458" s="13">
        <f>IF($A458="","",EDATE($B$7,438))</f>
        <v/>
      </c>
      <c r="C458" s="14">
        <f>IF($A458="","",MIN($D$4,F457+D458))</f>
        <v/>
      </c>
      <c r="D458" s="14">
        <f>IF($A458="","",F457*$B$6/12)</f>
        <v/>
      </c>
      <c r="E458" s="14">
        <f>IF($A458="","",C458-D458)</f>
        <v/>
      </c>
      <c r="F458" s="14">
        <f>IF($A458="","",F457-E458)</f>
        <v/>
      </c>
    </row>
    <row r="459">
      <c r="A459" s="12">
        <f>IF(439&gt;$B$5*12,"",439)</f>
        <v/>
      </c>
      <c r="B459" s="13">
        <f>IF($A459="","",EDATE($B$7,439))</f>
        <v/>
      </c>
      <c r="C459" s="14">
        <f>IF($A459="","",MIN($D$4,F458+D459))</f>
        <v/>
      </c>
      <c r="D459" s="14">
        <f>IF($A459="","",F458*$B$6/12)</f>
        <v/>
      </c>
      <c r="E459" s="14">
        <f>IF($A459="","",C459-D459)</f>
        <v/>
      </c>
      <c r="F459" s="14">
        <f>IF($A459="","",F458-E459)</f>
        <v/>
      </c>
    </row>
    <row r="460">
      <c r="A460" s="12">
        <f>IF(440&gt;$B$5*12,"",440)</f>
        <v/>
      </c>
      <c r="B460" s="13">
        <f>IF($A460="","",EDATE($B$7,440))</f>
        <v/>
      </c>
      <c r="C460" s="14">
        <f>IF($A460="","",MIN($D$4,F459+D460))</f>
        <v/>
      </c>
      <c r="D460" s="14">
        <f>IF($A460="","",F459*$B$6/12)</f>
        <v/>
      </c>
      <c r="E460" s="14">
        <f>IF($A460="","",C460-D460)</f>
        <v/>
      </c>
      <c r="F460" s="14">
        <f>IF($A460="","",F459-E460)</f>
        <v/>
      </c>
    </row>
    <row r="461">
      <c r="A461" s="12">
        <f>IF(441&gt;$B$5*12,"",441)</f>
        <v/>
      </c>
      <c r="B461" s="13">
        <f>IF($A461="","",EDATE($B$7,441))</f>
        <v/>
      </c>
      <c r="C461" s="14">
        <f>IF($A461="","",MIN($D$4,F460+D461))</f>
        <v/>
      </c>
      <c r="D461" s="14">
        <f>IF($A461="","",F460*$B$6/12)</f>
        <v/>
      </c>
      <c r="E461" s="14">
        <f>IF($A461="","",C461-D461)</f>
        <v/>
      </c>
      <c r="F461" s="14">
        <f>IF($A461="","",F460-E461)</f>
        <v/>
      </c>
    </row>
    <row r="462">
      <c r="A462" s="12">
        <f>IF(442&gt;$B$5*12,"",442)</f>
        <v/>
      </c>
      <c r="B462" s="13">
        <f>IF($A462="","",EDATE($B$7,442))</f>
        <v/>
      </c>
      <c r="C462" s="14">
        <f>IF($A462="","",MIN($D$4,F461+D462))</f>
        <v/>
      </c>
      <c r="D462" s="14">
        <f>IF($A462="","",F461*$B$6/12)</f>
        <v/>
      </c>
      <c r="E462" s="14">
        <f>IF($A462="","",C462-D462)</f>
        <v/>
      </c>
      <c r="F462" s="14">
        <f>IF($A462="","",F461-E462)</f>
        <v/>
      </c>
    </row>
    <row r="463">
      <c r="A463" s="12">
        <f>IF(443&gt;$B$5*12,"",443)</f>
        <v/>
      </c>
      <c r="B463" s="13">
        <f>IF($A463="","",EDATE($B$7,443))</f>
        <v/>
      </c>
      <c r="C463" s="14">
        <f>IF($A463="","",MIN($D$4,F462+D463))</f>
        <v/>
      </c>
      <c r="D463" s="14">
        <f>IF($A463="","",F462*$B$6/12)</f>
        <v/>
      </c>
      <c r="E463" s="14">
        <f>IF($A463="","",C463-D463)</f>
        <v/>
      </c>
      <c r="F463" s="14">
        <f>IF($A463="","",F462-E463)</f>
        <v/>
      </c>
    </row>
    <row r="464">
      <c r="A464" s="12">
        <f>IF(444&gt;$B$5*12,"",444)</f>
        <v/>
      </c>
      <c r="B464" s="13">
        <f>IF($A464="","",EDATE($B$7,444))</f>
        <v/>
      </c>
      <c r="C464" s="14">
        <f>IF($A464="","",MIN($D$4,F463+D464))</f>
        <v/>
      </c>
      <c r="D464" s="14">
        <f>IF($A464="","",F463*$B$6/12)</f>
        <v/>
      </c>
      <c r="E464" s="14">
        <f>IF($A464="","",C464-D464)</f>
        <v/>
      </c>
      <c r="F464" s="14">
        <f>IF($A464="","",F463-E464)</f>
        <v/>
      </c>
    </row>
    <row r="465">
      <c r="A465" s="12">
        <f>IF(445&gt;$B$5*12,"",445)</f>
        <v/>
      </c>
      <c r="B465" s="13">
        <f>IF($A465="","",EDATE($B$7,445))</f>
        <v/>
      </c>
      <c r="C465" s="14">
        <f>IF($A465="","",MIN($D$4,F464+D465))</f>
        <v/>
      </c>
      <c r="D465" s="14">
        <f>IF($A465="","",F464*$B$6/12)</f>
        <v/>
      </c>
      <c r="E465" s="14">
        <f>IF($A465="","",C465-D465)</f>
        <v/>
      </c>
      <c r="F465" s="14">
        <f>IF($A465="","",F464-E465)</f>
        <v/>
      </c>
    </row>
    <row r="466">
      <c r="A466" s="12">
        <f>IF(446&gt;$B$5*12,"",446)</f>
        <v/>
      </c>
      <c r="B466" s="13">
        <f>IF($A466="","",EDATE($B$7,446))</f>
        <v/>
      </c>
      <c r="C466" s="14">
        <f>IF($A466="","",MIN($D$4,F465+D466))</f>
        <v/>
      </c>
      <c r="D466" s="14">
        <f>IF($A466="","",F465*$B$6/12)</f>
        <v/>
      </c>
      <c r="E466" s="14">
        <f>IF($A466="","",C466-D466)</f>
        <v/>
      </c>
      <c r="F466" s="14">
        <f>IF($A466="","",F465-E466)</f>
        <v/>
      </c>
    </row>
    <row r="467">
      <c r="A467" s="12">
        <f>IF(447&gt;$B$5*12,"",447)</f>
        <v/>
      </c>
      <c r="B467" s="13">
        <f>IF($A467="","",EDATE($B$7,447))</f>
        <v/>
      </c>
      <c r="C467" s="14">
        <f>IF($A467="","",MIN($D$4,F466+D467))</f>
        <v/>
      </c>
      <c r="D467" s="14">
        <f>IF($A467="","",F466*$B$6/12)</f>
        <v/>
      </c>
      <c r="E467" s="14">
        <f>IF($A467="","",C467-D467)</f>
        <v/>
      </c>
      <c r="F467" s="14">
        <f>IF($A467="","",F466-E467)</f>
        <v/>
      </c>
    </row>
    <row r="468">
      <c r="A468" s="12">
        <f>IF(448&gt;$B$5*12,"",448)</f>
        <v/>
      </c>
      <c r="B468" s="13">
        <f>IF($A468="","",EDATE($B$7,448))</f>
        <v/>
      </c>
      <c r="C468" s="14">
        <f>IF($A468="","",MIN($D$4,F467+D468))</f>
        <v/>
      </c>
      <c r="D468" s="14">
        <f>IF($A468="","",F467*$B$6/12)</f>
        <v/>
      </c>
      <c r="E468" s="14">
        <f>IF($A468="","",C468-D468)</f>
        <v/>
      </c>
      <c r="F468" s="14">
        <f>IF($A468="","",F467-E468)</f>
        <v/>
      </c>
    </row>
    <row r="469">
      <c r="A469" s="12">
        <f>IF(449&gt;$B$5*12,"",449)</f>
        <v/>
      </c>
      <c r="B469" s="13">
        <f>IF($A469="","",EDATE($B$7,449))</f>
        <v/>
      </c>
      <c r="C469" s="14">
        <f>IF($A469="","",MIN($D$4,F468+D469))</f>
        <v/>
      </c>
      <c r="D469" s="14">
        <f>IF($A469="","",F468*$B$6/12)</f>
        <v/>
      </c>
      <c r="E469" s="14">
        <f>IF($A469="","",C469-D469)</f>
        <v/>
      </c>
      <c r="F469" s="14">
        <f>IF($A469="","",F468-E469)</f>
        <v/>
      </c>
    </row>
    <row r="470">
      <c r="A470" s="12">
        <f>IF(450&gt;$B$5*12,"",450)</f>
        <v/>
      </c>
      <c r="B470" s="13">
        <f>IF($A470="","",EDATE($B$7,450))</f>
        <v/>
      </c>
      <c r="C470" s="14">
        <f>IF($A470="","",MIN($D$4,F469+D470))</f>
        <v/>
      </c>
      <c r="D470" s="14">
        <f>IF($A470="","",F469*$B$6/12)</f>
        <v/>
      </c>
      <c r="E470" s="14">
        <f>IF($A470="","",C470-D470)</f>
        <v/>
      </c>
      <c r="F470" s="14">
        <f>IF($A470="","",F469-E470)</f>
        <v/>
      </c>
    </row>
    <row r="471">
      <c r="A471" s="12">
        <f>IF(451&gt;$B$5*12,"",451)</f>
        <v/>
      </c>
      <c r="B471" s="13">
        <f>IF($A471="","",EDATE($B$7,451))</f>
        <v/>
      </c>
      <c r="C471" s="14">
        <f>IF($A471="","",MIN($D$4,F470+D471))</f>
        <v/>
      </c>
      <c r="D471" s="14">
        <f>IF($A471="","",F470*$B$6/12)</f>
        <v/>
      </c>
      <c r="E471" s="14">
        <f>IF($A471="","",C471-D471)</f>
        <v/>
      </c>
      <c r="F471" s="14">
        <f>IF($A471="","",F470-E471)</f>
        <v/>
      </c>
    </row>
    <row r="472">
      <c r="A472" s="12">
        <f>IF(452&gt;$B$5*12,"",452)</f>
        <v/>
      </c>
      <c r="B472" s="13">
        <f>IF($A472="","",EDATE($B$7,452))</f>
        <v/>
      </c>
      <c r="C472" s="14">
        <f>IF($A472="","",MIN($D$4,F471+D472))</f>
        <v/>
      </c>
      <c r="D472" s="14">
        <f>IF($A472="","",F471*$B$6/12)</f>
        <v/>
      </c>
      <c r="E472" s="14">
        <f>IF($A472="","",C472-D472)</f>
        <v/>
      </c>
      <c r="F472" s="14">
        <f>IF($A472="","",F471-E472)</f>
        <v/>
      </c>
    </row>
    <row r="473">
      <c r="A473" s="12">
        <f>IF(453&gt;$B$5*12,"",453)</f>
        <v/>
      </c>
      <c r="B473" s="13">
        <f>IF($A473="","",EDATE($B$7,453))</f>
        <v/>
      </c>
      <c r="C473" s="14">
        <f>IF($A473="","",MIN($D$4,F472+D473))</f>
        <v/>
      </c>
      <c r="D473" s="14">
        <f>IF($A473="","",F472*$B$6/12)</f>
        <v/>
      </c>
      <c r="E473" s="14">
        <f>IF($A473="","",C473-D473)</f>
        <v/>
      </c>
      <c r="F473" s="14">
        <f>IF($A473="","",F472-E473)</f>
        <v/>
      </c>
    </row>
    <row r="474">
      <c r="A474" s="12">
        <f>IF(454&gt;$B$5*12,"",454)</f>
        <v/>
      </c>
      <c r="B474" s="13">
        <f>IF($A474="","",EDATE($B$7,454))</f>
        <v/>
      </c>
      <c r="C474" s="14">
        <f>IF($A474="","",MIN($D$4,F473+D474))</f>
        <v/>
      </c>
      <c r="D474" s="14">
        <f>IF($A474="","",F473*$B$6/12)</f>
        <v/>
      </c>
      <c r="E474" s="14">
        <f>IF($A474="","",C474-D474)</f>
        <v/>
      </c>
      <c r="F474" s="14">
        <f>IF($A474="","",F473-E474)</f>
        <v/>
      </c>
    </row>
    <row r="475">
      <c r="A475" s="12">
        <f>IF(455&gt;$B$5*12,"",455)</f>
        <v/>
      </c>
      <c r="B475" s="13">
        <f>IF($A475="","",EDATE($B$7,455))</f>
        <v/>
      </c>
      <c r="C475" s="14">
        <f>IF($A475="","",MIN($D$4,F474+D475))</f>
        <v/>
      </c>
      <c r="D475" s="14">
        <f>IF($A475="","",F474*$B$6/12)</f>
        <v/>
      </c>
      <c r="E475" s="14">
        <f>IF($A475="","",C475-D475)</f>
        <v/>
      </c>
      <c r="F475" s="14">
        <f>IF($A475="","",F474-E475)</f>
        <v/>
      </c>
    </row>
    <row r="476">
      <c r="A476" s="12">
        <f>IF(456&gt;$B$5*12,"",456)</f>
        <v/>
      </c>
      <c r="B476" s="13">
        <f>IF($A476="","",EDATE($B$7,456))</f>
        <v/>
      </c>
      <c r="C476" s="14">
        <f>IF($A476="","",MIN($D$4,F475+D476))</f>
        <v/>
      </c>
      <c r="D476" s="14">
        <f>IF($A476="","",F475*$B$6/12)</f>
        <v/>
      </c>
      <c r="E476" s="14">
        <f>IF($A476="","",C476-D476)</f>
        <v/>
      </c>
      <c r="F476" s="14">
        <f>IF($A476="","",F475-E476)</f>
        <v/>
      </c>
    </row>
    <row r="477">
      <c r="A477" s="12">
        <f>IF(457&gt;$B$5*12,"",457)</f>
        <v/>
      </c>
      <c r="B477" s="13">
        <f>IF($A477="","",EDATE($B$7,457))</f>
        <v/>
      </c>
      <c r="C477" s="14">
        <f>IF($A477="","",MIN($D$4,F476+D477))</f>
        <v/>
      </c>
      <c r="D477" s="14">
        <f>IF($A477="","",F476*$B$6/12)</f>
        <v/>
      </c>
      <c r="E477" s="14">
        <f>IF($A477="","",C477-D477)</f>
        <v/>
      </c>
      <c r="F477" s="14">
        <f>IF($A477="","",F476-E477)</f>
        <v/>
      </c>
    </row>
    <row r="478">
      <c r="A478" s="12">
        <f>IF(458&gt;$B$5*12,"",458)</f>
        <v/>
      </c>
      <c r="B478" s="13">
        <f>IF($A478="","",EDATE($B$7,458))</f>
        <v/>
      </c>
      <c r="C478" s="14">
        <f>IF($A478="","",MIN($D$4,F477+D478))</f>
        <v/>
      </c>
      <c r="D478" s="14">
        <f>IF($A478="","",F477*$B$6/12)</f>
        <v/>
      </c>
      <c r="E478" s="14">
        <f>IF($A478="","",C478-D478)</f>
        <v/>
      </c>
      <c r="F478" s="14">
        <f>IF($A478="","",F477-E478)</f>
        <v/>
      </c>
    </row>
    <row r="479">
      <c r="A479" s="12">
        <f>IF(459&gt;$B$5*12,"",459)</f>
        <v/>
      </c>
      <c r="B479" s="13">
        <f>IF($A479="","",EDATE($B$7,459))</f>
        <v/>
      </c>
      <c r="C479" s="14">
        <f>IF($A479="","",MIN($D$4,F478+D479))</f>
        <v/>
      </c>
      <c r="D479" s="14">
        <f>IF($A479="","",F478*$B$6/12)</f>
        <v/>
      </c>
      <c r="E479" s="14">
        <f>IF($A479="","",C479-D479)</f>
        <v/>
      </c>
      <c r="F479" s="14">
        <f>IF($A479="","",F478-E479)</f>
        <v/>
      </c>
    </row>
    <row r="480">
      <c r="A480" s="12">
        <f>IF(460&gt;$B$5*12,"",460)</f>
        <v/>
      </c>
      <c r="B480" s="13">
        <f>IF($A480="","",EDATE($B$7,460))</f>
        <v/>
      </c>
      <c r="C480" s="14">
        <f>IF($A480="","",MIN($D$4,F479+D480))</f>
        <v/>
      </c>
      <c r="D480" s="14">
        <f>IF($A480="","",F479*$B$6/12)</f>
        <v/>
      </c>
      <c r="E480" s="14">
        <f>IF($A480="","",C480-D480)</f>
        <v/>
      </c>
      <c r="F480" s="14">
        <f>IF($A480="","",F479-E480)</f>
        <v/>
      </c>
    </row>
    <row r="481">
      <c r="A481" s="12">
        <f>IF(461&gt;$B$5*12,"",461)</f>
        <v/>
      </c>
      <c r="B481" s="13">
        <f>IF($A481="","",EDATE($B$7,461))</f>
        <v/>
      </c>
      <c r="C481" s="14">
        <f>IF($A481="","",MIN($D$4,F480+D481))</f>
        <v/>
      </c>
      <c r="D481" s="14">
        <f>IF($A481="","",F480*$B$6/12)</f>
        <v/>
      </c>
      <c r="E481" s="14">
        <f>IF($A481="","",C481-D481)</f>
        <v/>
      </c>
      <c r="F481" s="14">
        <f>IF($A481="","",F480-E481)</f>
        <v/>
      </c>
    </row>
    <row r="482">
      <c r="A482" s="12">
        <f>IF(462&gt;$B$5*12,"",462)</f>
        <v/>
      </c>
      <c r="B482" s="13">
        <f>IF($A482="","",EDATE($B$7,462))</f>
        <v/>
      </c>
      <c r="C482" s="14">
        <f>IF($A482="","",MIN($D$4,F481+D482))</f>
        <v/>
      </c>
      <c r="D482" s="14">
        <f>IF($A482="","",F481*$B$6/12)</f>
        <v/>
      </c>
      <c r="E482" s="14">
        <f>IF($A482="","",C482-D482)</f>
        <v/>
      </c>
      <c r="F482" s="14">
        <f>IF($A482="","",F481-E482)</f>
        <v/>
      </c>
    </row>
    <row r="483">
      <c r="A483" s="12">
        <f>IF(463&gt;$B$5*12,"",463)</f>
        <v/>
      </c>
      <c r="B483" s="13">
        <f>IF($A483="","",EDATE($B$7,463))</f>
        <v/>
      </c>
      <c r="C483" s="14">
        <f>IF($A483="","",MIN($D$4,F482+D483))</f>
        <v/>
      </c>
      <c r="D483" s="14">
        <f>IF($A483="","",F482*$B$6/12)</f>
        <v/>
      </c>
      <c r="E483" s="14">
        <f>IF($A483="","",C483-D483)</f>
        <v/>
      </c>
      <c r="F483" s="14">
        <f>IF($A483="","",F482-E483)</f>
        <v/>
      </c>
    </row>
    <row r="484">
      <c r="A484" s="12">
        <f>IF(464&gt;$B$5*12,"",464)</f>
        <v/>
      </c>
      <c r="B484" s="13">
        <f>IF($A484="","",EDATE($B$7,464))</f>
        <v/>
      </c>
      <c r="C484" s="14">
        <f>IF($A484="","",MIN($D$4,F483+D484))</f>
        <v/>
      </c>
      <c r="D484" s="14">
        <f>IF($A484="","",F483*$B$6/12)</f>
        <v/>
      </c>
      <c r="E484" s="14">
        <f>IF($A484="","",C484-D484)</f>
        <v/>
      </c>
      <c r="F484" s="14">
        <f>IF($A484="","",F483-E484)</f>
        <v/>
      </c>
    </row>
    <row r="485">
      <c r="A485" s="12">
        <f>IF(465&gt;$B$5*12,"",465)</f>
        <v/>
      </c>
      <c r="B485" s="13">
        <f>IF($A485="","",EDATE($B$7,465))</f>
        <v/>
      </c>
      <c r="C485" s="14">
        <f>IF($A485="","",MIN($D$4,F484+D485))</f>
        <v/>
      </c>
      <c r="D485" s="14">
        <f>IF($A485="","",F484*$B$6/12)</f>
        <v/>
      </c>
      <c r="E485" s="14">
        <f>IF($A485="","",C485-D485)</f>
        <v/>
      </c>
      <c r="F485" s="14">
        <f>IF($A485="","",F484-E485)</f>
        <v/>
      </c>
    </row>
    <row r="486">
      <c r="A486" s="12">
        <f>IF(466&gt;$B$5*12,"",466)</f>
        <v/>
      </c>
      <c r="B486" s="13">
        <f>IF($A486="","",EDATE($B$7,466))</f>
        <v/>
      </c>
      <c r="C486" s="14">
        <f>IF($A486="","",MIN($D$4,F485+D486))</f>
        <v/>
      </c>
      <c r="D486" s="14">
        <f>IF($A486="","",F485*$B$6/12)</f>
        <v/>
      </c>
      <c r="E486" s="14">
        <f>IF($A486="","",C486-D486)</f>
        <v/>
      </c>
      <c r="F486" s="14">
        <f>IF($A486="","",F485-E486)</f>
        <v/>
      </c>
    </row>
    <row r="487">
      <c r="A487" s="12">
        <f>IF(467&gt;$B$5*12,"",467)</f>
        <v/>
      </c>
      <c r="B487" s="13">
        <f>IF($A487="","",EDATE($B$7,467))</f>
        <v/>
      </c>
      <c r="C487" s="14">
        <f>IF($A487="","",MIN($D$4,F486+D487))</f>
        <v/>
      </c>
      <c r="D487" s="14">
        <f>IF($A487="","",F486*$B$6/12)</f>
        <v/>
      </c>
      <c r="E487" s="14">
        <f>IF($A487="","",C487-D487)</f>
        <v/>
      </c>
      <c r="F487" s="14">
        <f>IF($A487="","",F486-E487)</f>
        <v/>
      </c>
    </row>
    <row r="488">
      <c r="A488" s="12">
        <f>IF(468&gt;$B$5*12,"",468)</f>
        <v/>
      </c>
      <c r="B488" s="13">
        <f>IF($A488="","",EDATE($B$7,468))</f>
        <v/>
      </c>
      <c r="C488" s="14">
        <f>IF($A488="","",MIN($D$4,F487+D488))</f>
        <v/>
      </c>
      <c r="D488" s="14">
        <f>IF($A488="","",F487*$B$6/12)</f>
        <v/>
      </c>
      <c r="E488" s="14">
        <f>IF($A488="","",C488-D488)</f>
        <v/>
      </c>
      <c r="F488" s="14">
        <f>IF($A488="","",F487-E488)</f>
        <v/>
      </c>
    </row>
    <row r="489">
      <c r="A489" s="12">
        <f>IF(469&gt;$B$5*12,"",469)</f>
        <v/>
      </c>
      <c r="B489" s="13">
        <f>IF($A489="","",EDATE($B$7,469))</f>
        <v/>
      </c>
      <c r="C489" s="14">
        <f>IF($A489="","",MIN($D$4,F488+D489))</f>
        <v/>
      </c>
      <c r="D489" s="14">
        <f>IF($A489="","",F488*$B$6/12)</f>
        <v/>
      </c>
      <c r="E489" s="14">
        <f>IF($A489="","",C489-D489)</f>
        <v/>
      </c>
      <c r="F489" s="14">
        <f>IF($A489="","",F488-E489)</f>
        <v/>
      </c>
    </row>
    <row r="490">
      <c r="A490" s="12">
        <f>IF(470&gt;$B$5*12,"",470)</f>
        <v/>
      </c>
      <c r="B490" s="13">
        <f>IF($A490="","",EDATE($B$7,470))</f>
        <v/>
      </c>
      <c r="C490" s="14">
        <f>IF($A490="","",MIN($D$4,F489+D490))</f>
        <v/>
      </c>
      <c r="D490" s="14">
        <f>IF($A490="","",F489*$B$6/12)</f>
        <v/>
      </c>
      <c r="E490" s="14">
        <f>IF($A490="","",C490-D490)</f>
        <v/>
      </c>
      <c r="F490" s="14">
        <f>IF($A490="","",F489-E490)</f>
        <v/>
      </c>
    </row>
    <row r="491">
      <c r="A491" s="12">
        <f>IF(471&gt;$B$5*12,"",471)</f>
        <v/>
      </c>
      <c r="B491" s="13">
        <f>IF($A491="","",EDATE($B$7,471))</f>
        <v/>
      </c>
      <c r="C491" s="14">
        <f>IF($A491="","",MIN($D$4,F490+D491))</f>
        <v/>
      </c>
      <c r="D491" s="14">
        <f>IF($A491="","",F490*$B$6/12)</f>
        <v/>
      </c>
      <c r="E491" s="14">
        <f>IF($A491="","",C491-D491)</f>
        <v/>
      </c>
      <c r="F491" s="14">
        <f>IF($A491="","",F490-E491)</f>
        <v/>
      </c>
    </row>
    <row r="492">
      <c r="A492" s="12">
        <f>IF(472&gt;$B$5*12,"",472)</f>
        <v/>
      </c>
      <c r="B492" s="13">
        <f>IF($A492="","",EDATE($B$7,472))</f>
        <v/>
      </c>
      <c r="C492" s="14">
        <f>IF($A492="","",MIN($D$4,F491+D492))</f>
        <v/>
      </c>
      <c r="D492" s="14">
        <f>IF($A492="","",F491*$B$6/12)</f>
        <v/>
      </c>
      <c r="E492" s="14">
        <f>IF($A492="","",C492-D492)</f>
        <v/>
      </c>
      <c r="F492" s="14">
        <f>IF($A492="","",F491-E492)</f>
        <v/>
      </c>
    </row>
    <row r="493">
      <c r="A493" s="12">
        <f>IF(473&gt;$B$5*12,"",473)</f>
        <v/>
      </c>
      <c r="B493" s="13">
        <f>IF($A493="","",EDATE($B$7,473))</f>
        <v/>
      </c>
      <c r="C493" s="14">
        <f>IF($A493="","",MIN($D$4,F492+D493))</f>
        <v/>
      </c>
      <c r="D493" s="14">
        <f>IF($A493="","",F492*$B$6/12)</f>
        <v/>
      </c>
      <c r="E493" s="14">
        <f>IF($A493="","",C493-D493)</f>
        <v/>
      </c>
      <c r="F493" s="14">
        <f>IF($A493="","",F492-E493)</f>
        <v/>
      </c>
    </row>
    <row r="494">
      <c r="A494" s="12">
        <f>IF(474&gt;$B$5*12,"",474)</f>
        <v/>
      </c>
      <c r="B494" s="13">
        <f>IF($A494="","",EDATE($B$7,474))</f>
        <v/>
      </c>
      <c r="C494" s="14">
        <f>IF($A494="","",MIN($D$4,F493+D494))</f>
        <v/>
      </c>
      <c r="D494" s="14">
        <f>IF($A494="","",F493*$B$6/12)</f>
        <v/>
      </c>
      <c r="E494" s="14">
        <f>IF($A494="","",C494-D494)</f>
        <v/>
      </c>
      <c r="F494" s="14">
        <f>IF($A494="","",F493-E494)</f>
        <v/>
      </c>
    </row>
    <row r="495">
      <c r="A495" s="12">
        <f>IF(475&gt;$B$5*12,"",475)</f>
        <v/>
      </c>
      <c r="B495" s="13">
        <f>IF($A495="","",EDATE($B$7,475))</f>
        <v/>
      </c>
      <c r="C495" s="14">
        <f>IF($A495="","",MIN($D$4,F494+D495))</f>
        <v/>
      </c>
      <c r="D495" s="14">
        <f>IF($A495="","",F494*$B$6/12)</f>
        <v/>
      </c>
      <c r="E495" s="14">
        <f>IF($A495="","",C495-D495)</f>
        <v/>
      </c>
      <c r="F495" s="14">
        <f>IF($A495="","",F494-E495)</f>
        <v/>
      </c>
    </row>
    <row r="496">
      <c r="A496" s="12">
        <f>IF(476&gt;$B$5*12,"",476)</f>
        <v/>
      </c>
      <c r="B496" s="13">
        <f>IF($A496="","",EDATE($B$7,476))</f>
        <v/>
      </c>
      <c r="C496" s="14">
        <f>IF($A496="","",MIN($D$4,F495+D496))</f>
        <v/>
      </c>
      <c r="D496" s="14">
        <f>IF($A496="","",F495*$B$6/12)</f>
        <v/>
      </c>
      <c r="E496" s="14">
        <f>IF($A496="","",C496-D496)</f>
        <v/>
      </c>
      <c r="F496" s="14">
        <f>IF($A496="","",F495-E496)</f>
        <v/>
      </c>
    </row>
    <row r="497">
      <c r="A497" s="12">
        <f>IF(477&gt;$B$5*12,"",477)</f>
        <v/>
      </c>
      <c r="B497" s="13">
        <f>IF($A497="","",EDATE($B$7,477))</f>
        <v/>
      </c>
      <c r="C497" s="14">
        <f>IF($A497="","",MIN($D$4,F496+D497))</f>
        <v/>
      </c>
      <c r="D497" s="14">
        <f>IF($A497="","",F496*$B$6/12)</f>
        <v/>
      </c>
      <c r="E497" s="14">
        <f>IF($A497="","",C497-D497)</f>
        <v/>
      </c>
      <c r="F497" s="14">
        <f>IF($A497="","",F496-E497)</f>
        <v/>
      </c>
    </row>
    <row r="498">
      <c r="A498" s="12">
        <f>IF(478&gt;$B$5*12,"",478)</f>
        <v/>
      </c>
      <c r="B498" s="13">
        <f>IF($A498="","",EDATE($B$7,478))</f>
        <v/>
      </c>
      <c r="C498" s="14">
        <f>IF($A498="","",MIN($D$4,F497+D498))</f>
        <v/>
      </c>
      <c r="D498" s="14">
        <f>IF($A498="","",F497*$B$6/12)</f>
        <v/>
      </c>
      <c r="E498" s="14">
        <f>IF($A498="","",C498-D498)</f>
        <v/>
      </c>
      <c r="F498" s="14">
        <f>IF($A498="","",F497-E498)</f>
        <v/>
      </c>
    </row>
    <row r="499">
      <c r="A499" s="12">
        <f>IF(479&gt;$B$5*12,"",479)</f>
        <v/>
      </c>
      <c r="B499" s="13">
        <f>IF($A499="","",EDATE($B$7,479))</f>
        <v/>
      </c>
      <c r="C499" s="14">
        <f>IF($A499="","",MIN($D$4,F498+D499))</f>
        <v/>
      </c>
      <c r="D499" s="14">
        <f>IF($A499="","",F498*$B$6/12)</f>
        <v/>
      </c>
      <c r="E499" s="14">
        <f>IF($A499="","",C499-D499)</f>
        <v/>
      </c>
      <c r="F499" s="14">
        <f>IF($A499="","",F498-E499)</f>
        <v/>
      </c>
    </row>
    <row r="500">
      <c r="A500" s="12">
        <f>IF(480&gt;$B$5*12,"",480)</f>
        <v/>
      </c>
      <c r="B500" s="13">
        <f>IF($A500="","",EDATE($B$7,480))</f>
        <v/>
      </c>
      <c r="C500" s="14">
        <f>IF($A500="","",MIN($D$4,F499+D500))</f>
        <v/>
      </c>
      <c r="D500" s="14">
        <f>IF($A500="","",F499*$B$6/12)</f>
        <v/>
      </c>
      <c r="E500" s="14">
        <f>IF($A500="","",C500-D500)</f>
        <v/>
      </c>
      <c r="F500" s="14">
        <f>IF($A500="","",F499-E500)</f>
        <v/>
      </c>
    </row>
  </sheetData>
  <mergeCells count="7">
    <mergeCell ref="A2:F2"/>
    <mergeCell ref="E6:F6"/>
    <mergeCell ref="E7:F7"/>
    <mergeCell ref="A1:F1"/>
    <mergeCell ref="D3:F3"/>
    <mergeCell ref="D4:F5"/>
    <mergeCell ref="A3:B3"/>
  </mergeCells>
  <hyperlinks>
    <hyperlink xmlns:r="http://schemas.openxmlformats.org/officeDocument/2006/relationships" ref="A2" r:id="rId1"/>
  </hyperlinks>
  <pageMargins left="0.75" right="0.75" top="1" bottom="1" header="0.5" footer="0.5"/>
  <drawing xmlns:r="http://schemas.openxmlformats.org/officeDocument/2006/relationships"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2026-06-10T19:35:37Z</dcterms:created>
  <dcterms:modified xsi:type="dcterms:W3CDTF">2026-06-10T19:35:37Z</dcterms:modified>
</cp:coreProperties>
</file>